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90" windowWidth="14355" windowHeight="4680"/>
  </bookViews>
  <sheets>
    <sheet name="ev rkpd" sheetId="4" r:id="rId1"/>
    <sheet name="ev rkpd (2)" sheetId="5" state="hidden" r:id="rId2"/>
    <sheet name="Sheet1" sheetId="1" r:id="rId3"/>
    <sheet name="Sheet2" sheetId="2" r:id="rId4"/>
    <sheet name="Sheet3"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Print_Titles" localSheetId="0">'ev rkpd'!$7:$8</definedName>
    <definedName name="_xlnm.Print_Titles" localSheetId="1">'ev rkpd (2)'!$12:$13</definedName>
    <definedName name="_xlnm.Print_Titles" localSheetId="2">Sheet1!$22:$23</definedName>
  </definedNames>
  <calcPr calcId="125725"/>
</workbook>
</file>

<file path=xl/calcChain.xml><?xml version="1.0" encoding="utf-8"?>
<calcChain xmlns="http://schemas.openxmlformats.org/spreadsheetml/2006/main">
  <c r="Z16" i="4"/>
  <c r="AB16" s="1"/>
  <c r="AD16" s="1"/>
  <c r="AA16"/>
  <c r="AC16" s="1"/>
  <c r="Z17"/>
  <c r="AB17" s="1"/>
  <c r="AD17" s="1"/>
  <c r="AA17"/>
  <c r="AC17" s="1"/>
  <c r="N12"/>
  <c r="L12"/>
  <c r="P12"/>
  <c r="R12" l="1"/>
  <c r="Q12"/>
  <c r="Y12" s="1"/>
  <c r="AA12" s="1"/>
  <c r="AC12" l="1"/>
  <c r="AA1797" i="5" l="1"/>
  <c r="AC1797" s="1"/>
  <c r="Z1797"/>
  <c r="AB1797" s="1"/>
  <c r="Y1797"/>
  <c r="AA1796"/>
  <c r="AC1796" s="1"/>
  <c r="Z1796"/>
  <c r="AB1796" s="1"/>
  <c r="Y1796"/>
  <c r="AA1795"/>
  <c r="AC1795" s="1"/>
  <c r="Z1795"/>
  <c r="Y1795"/>
  <c r="N1795"/>
  <c r="N1794" s="1"/>
  <c r="Y1794"/>
  <c r="R1794"/>
  <c r="Z1794" s="1"/>
  <c r="P1794"/>
  <c r="AA1791"/>
  <c r="AC1791" s="1"/>
  <c r="Z1791"/>
  <c r="AB1791" s="1"/>
  <c r="Y1791"/>
  <c r="AA1790"/>
  <c r="Z1790"/>
  <c r="AB1790" s="1"/>
  <c r="Y1790"/>
  <c r="L1787" s="1"/>
  <c r="K1790"/>
  <c r="Y1787"/>
  <c r="R1787"/>
  <c r="Z1787" s="1"/>
  <c r="P1787"/>
  <c r="N1787"/>
  <c r="Z1784"/>
  <c r="Y1784"/>
  <c r="N1784"/>
  <c r="M1784"/>
  <c r="AA1784" s="1"/>
  <c r="L1780" s="1"/>
  <c r="K1784"/>
  <c r="AA1783"/>
  <c r="AC1783" s="1"/>
  <c r="Z1783"/>
  <c r="AB1783" s="1"/>
  <c r="Y1783"/>
  <c r="Z1782"/>
  <c r="AB1782" s="1"/>
  <c r="Y1782"/>
  <c r="M1782"/>
  <c r="AA1782" s="1"/>
  <c r="AC1782" s="1"/>
  <c r="AA1781"/>
  <c r="AC1781" s="1"/>
  <c r="Z1781"/>
  <c r="AB1781" s="1"/>
  <c r="Y1781"/>
  <c r="Y1780"/>
  <c r="R1780"/>
  <c r="Z1780" s="1"/>
  <c r="P1780"/>
  <c r="M1780"/>
  <c r="AA1780" s="1"/>
  <c r="AC1780" s="1"/>
  <c r="AA1777"/>
  <c r="AC1777" s="1"/>
  <c r="Z1777"/>
  <c r="AB1777" s="1"/>
  <c r="Y1777"/>
  <c r="AA1776"/>
  <c r="AC1776" s="1"/>
  <c r="Z1776"/>
  <c r="AB1776" s="1"/>
  <c r="Y1776"/>
  <c r="AA1775"/>
  <c r="AC1775" s="1"/>
  <c r="Z1775"/>
  <c r="AB1775" s="1"/>
  <c r="Y1775"/>
  <c r="AA1774"/>
  <c r="AC1774" s="1"/>
  <c r="Z1774"/>
  <c r="Y1774"/>
  <c r="N1774"/>
  <c r="AA1771"/>
  <c r="AC1771" s="1"/>
  <c r="Z1771"/>
  <c r="Y1771"/>
  <c r="N1771"/>
  <c r="AA1769"/>
  <c r="Z1769"/>
  <c r="AB1769" s="1"/>
  <c r="AD1769" s="1"/>
  <c r="Y1769"/>
  <c r="K1769"/>
  <c r="AC1769" s="1"/>
  <c r="AA1768"/>
  <c r="AC1768" s="1"/>
  <c r="Z1768"/>
  <c r="Y1768"/>
  <c r="N1768"/>
  <c r="Z1767"/>
  <c r="AB1767" s="1"/>
  <c r="Y1767"/>
  <c r="AA1766"/>
  <c r="AC1766" s="1"/>
  <c r="Z1766"/>
  <c r="Y1766"/>
  <c r="N1766"/>
  <c r="AA1763"/>
  <c r="Z1763"/>
  <c r="Y1763"/>
  <c r="N1763"/>
  <c r="N1755" s="1"/>
  <c r="K1763"/>
  <c r="AA1762"/>
  <c r="AC1762" s="1"/>
  <c r="Y1762"/>
  <c r="AA1761"/>
  <c r="AC1761" s="1"/>
  <c r="Z1761"/>
  <c r="Y1761"/>
  <c r="N1761"/>
  <c r="AA1760"/>
  <c r="AC1760" s="1"/>
  <c r="Y1760"/>
  <c r="AA1759"/>
  <c r="AC1759" s="1"/>
  <c r="Y1759"/>
  <c r="AA1758"/>
  <c r="AC1758" s="1"/>
  <c r="Y1758"/>
  <c r="AA1757"/>
  <c r="AC1757" s="1"/>
  <c r="Y1757"/>
  <c r="AA1756"/>
  <c r="AC1756" s="1"/>
  <c r="Y1756"/>
  <c r="AA1755"/>
  <c r="AC1755" s="1"/>
  <c r="Y1755"/>
  <c r="R1755"/>
  <c r="Z1755" s="1"/>
  <c r="P1755"/>
  <c r="AA1752"/>
  <c r="AC1752" s="1"/>
  <c r="AC1753" s="1"/>
  <c r="Z1752"/>
  <c r="Y1752"/>
  <c r="N1752"/>
  <c r="N1751" s="1"/>
  <c r="Y1751"/>
  <c r="R1751"/>
  <c r="Z1751" s="1"/>
  <c r="P1751"/>
  <c r="M1751"/>
  <c r="AA1751" s="1"/>
  <c r="AC1751" s="1"/>
  <c r="AA1748"/>
  <c r="AC1748" s="1"/>
  <c r="AC1749" s="1"/>
  <c r="Z1748"/>
  <c r="Y1748"/>
  <c r="N1748"/>
  <c r="L1747" s="1"/>
  <c r="Y1747"/>
  <c r="R1747"/>
  <c r="Z1747" s="1"/>
  <c r="P1747"/>
  <c r="N1747"/>
  <c r="M1747"/>
  <c r="AA1747" s="1"/>
  <c r="AC1747" s="1"/>
  <c r="AA1744"/>
  <c r="AC1744" s="1"/>
  <c r="Z1744"/>
  <c r="Y1744"/>
  <c r="N1744"/>
  <c r="AA1743"/>
  <c r="Z1743"/>
  <c r="Y1743"/>
  <c r="N1743"/>
  <c r="N1742" s="1"/>
  <c r="K1743"/>
  <c r="Y1742"/>
  <c r="R1742"/>
  <c r="Z1742" s="1"/>
  <c r="P1742"/>
  <c r="M1742"/>
  <c r="AA1742" s="1"/>
  <c r="AC1742" s="1"/>
  <c r="AA1739"/>
  <c r="AC1739" s="1"/>
  <c r="Y1739"/>
  <c r="N1739"/>
  <c r="AB1739" s="1"/>
  <c r="AC1738"/>
  <c r="AA1738"/>
  <c r="Z1738"/>
  <c r="AB1738" s="1"/>
  <c r="Y1738"/>
  <c r="AA1737"/>
  <c r="Z1737"/>
  <c r="Y1737"/>
  <c r="N1737"/>
  <c r="N1735" s="1"/>
  <c r="K1737"/>
  <c r="AA1736"/>
  <c r="AC1736" s="1"/>
  <c r="Z1736"/>
  <c r="AB1736" s="1"/>
  <c r="Y1736"/>
  <c r="Y1735"/>
  <c r="R1735"/>
  <c r="Z1735" s="1"/>
  <c r="P1735"/>
  <c r="M1735"/>
  <c r="AA1735" s="1"/>
  <c r="AC1735" s="1"/>
  <c r="Z1732"/>
  <c r="Y1732"/>
  <c r="N1732"/>
  <c r="M1732"/>
  <c r="AA1732" s="1"/>
  <c r="AC1732" s="1"/>
  <c r="Z1731"/>
  <c r="Y1731"/>
  <c r="N1731"/>
  <c r="M1731"/>
  <c r="AA1731" s="1"/>
  <c r="AC1731" s="1"/>
  <c r="AA1730"/>
  <c r="AC1730" s="1"/>
  <c r="Z1730"/>
  <c r="Y1730"/>
  <c r="N1730"/>
  <c r="AA1729"/>
  <c r="AC1729" s="1"/>
  <c r="Z1729"/>
  <c r="Y1729"/>
  <c r="N1729"/>
  <c r="AB1728"/>
  <c r="Y1728"/>
  <c r="M1728"/>
  <c r="AA1728" s="1"/>
  <c r="AC1728" s="1"/>
  <c r="Y1727"/>
  <c r="R1727"/>
  <c r="Z1727" s="1"/>
  <c r="P1727"/>
  <c r="N1727"/>
  <c r="M1727"/>
  <c r="AA1727" s="1"/>
  <c r="AC1727" s="1"/>
  <c r="AA1724"/>
  <c r="AC1724" s="1"/>
  <c r="AC1725" s="1"/>
  <c r="Z1724"/>
  <c r="Y1724"/>
  <c r="N1724"/>
  <c r="AA1723"/>
  <c r="AC1723" s="1"/>
  <c r="Y1723"/>
  <c r="R1723"/>
  <c r="Z1723" s="1"/>
  <c r="P1723"/>
  <c r="AA1720"/>
  <c r="Z1720"/>
  <c r="Y1720"/>
  <c r="N1720"/>
  <c r="K1720"/>
  <c r="AA1719"/>
  <c r="AC1719" s="1"/>
  <c r="Z1719"/>
  <c r="Y1719"/>
  <c r="N1719"/>
  <c r="L1718" s="1"/>
  <c r="AA1718"/>
  <c r="AC1718" s="1"/>
  <c r="Y1718"/>
  <c r="R1718"/>
  <c r="Z1718" s="1"/>
  <c r="P1718"/>
  <c r="AA1715"/>
  <c r="AC1715" s="1"/>
  <c r="Z1715"/>
  <c r="Y1715"/>
  <c r="N1715"/>
  <c r="AA1714"/>
  <c r="Z1714"/>
  <c r="Y1714"/>
  <c r="N1714"/>
  <c r="K1714"/>
  <c r="AA1713"/>
  <c r="AC1713" s="1"/>
  <c r="Z1713"/>
  <c r="Y1713"/>
  <c r="N1713"/>
  <c r="AA1712"/>
  <c r="Z1712"/>
  <c r="Y1712"/>
  <c r="N1712"/>
  <c r="K1712"/>
  <c r="Y1711"/>
  <c r="R1711"/>
  <c r="Z1711" s="1"/>
  <c r="P1711"/>
  <c r="M1711"/>
  <c r="AA1711" s="1"/>
  <c r="AC1711" s="1"/>
  <c r="AA1708"/>
  <c r="AC1708" s="1"/>
  <c r="Z1708"/>
  <c r="AB1708" s="1"/>
  <c r="AD1708" s="1"/>
  <c r="Y1708"/>
  <c r="AA1707"/>
  <c r="AC1707" s="1"/>
  <c r="Z1707"/>
  <c r="AB1707" s="1"/>
  <c r="Y1707"/>
  <c r="L1706" s="1"/>
  <c r="Y1706"/>
  <c r="R1706"/>
  <c r="Z1706" s="1"/>
  <c r="P1706"/>
  <c r="N1706"/>
  <c r="M1706"/>
  <c r="AA1706" s="1"/>
  <c r="AC1706" s="1"/>
  <c r="AA1703"/>
  <c r="AC1703" s="1"/>
  <c r="Z1703"/>
  <c r="AB1703" s="1"/>
  <c r="Y1703"/>
  <c r="AA1702"/>
  <c r="AC1702" s="1"/>
  <c r="Z1702"/>
  <c r="AB1702" s="1"/>
  <c r="Y1702"/>
  <c r="AA1701"/>
  <c r="AC1701" s="1"/>
  <c r="Z1701"/>
  <c r="AB1701" s="1"/>
  <c r="Y1701"/>
  <c r="AA1700"/>
  <c r="AC1700" s="1"/>
  <c r="Z1700"/>
  <c r="AB1700" s="1"/>
  <c r="Y1700"/>
  <c r="Z1699"/>
  <c r="Y1699"/>
  <c r="N1699"/>
  <c r="M1699"/>
  <c r="AA1699" s="1"/>
  <c r="AC1699" s="1"/>
  <c r="K1699"/>
  <c r="AA1698"/>
  <c r="AC1698" s="1"/>
  <c r="Z1698"/>
  <c r="Y1698"/>
  <c r="N1698"/>
  <c r="Z1697"/>
  <c r="AB1697" s="1"/>
  <c r="Y1697"/>
  <c r="M1697"/>
  <c r="AA1697" s="1"/>
  <c r="K1697"/>
  <c r="AB1696"/>
  <c r="AA1696"/>
  <c r="AC1696" s="1"/>
  <c r="Y1696"/>
  <c r="Y1695"/>
  <c r="R1695"/>
  <c r="Z1695" s="1"/>
  <c r="P1695"/>
  <c r="M1695"/>
  <c r="AA1695" s="1"/>
  <c r="AC1695" s="1"/>
  <c r="AA1694"/>
  <c r="AC1694" s="1"/>
  <c r="Z1694"/>
  <c r="Y1694"/>
  <c r="N1694"/>
  <c r="AA1693"/>
  <c r="AC1693" s="1"/>
  <c r="Z1693"/>
  <c r="Y1693"/>
  <c r="N1693"/>
  <c r="AA1692"/>
  <c r="AC1692" s="1"/>
  <c r="Z1692"/>
  <c r="Y1692"/>
  <c r="N1692"/>
  <c r="AA1691"/>
  <c r="AC1691" s="1"/>
  <c r="Z1691"/>
  <c r="Y1691"/>
  <c r="N1691"/>
  <c r="AB1691" s="1"/>
  <c r="AD1691" s="1"/>
  <c r="AA1690"/>
  <c r="Z1690"/>
  <c r="Y1690"/>
  <c r="N1690"/>
  <c r="K1690"/>
  <c r="Y1689"/>
  <c r="R1689"/>
  <c r="Z1689" s="1"/>
  <c r="P1689"/>
  <c r="M1689"/>
  <c r="AA1689" s="1"/>
  <c r="AC1689" s="1"/>
  <c r="AA1685"/>
  <c r="AC1685" s="1"/>
  <c r="AC1686" s="1"/>
  <c r="Z1685"/>
  <c r="AB1685" s="1"/>
  <c r="Y1685"/>
  <c r="L1684" s="1"/>
  <c r="AA1684"/>
  <c r="AC1684" s="1"/>
  <c r="Y1684"/>
  <c r="R1684"/>
  <c r="Z1684" s="1"/>
  <c r="AB1684" s="1"/>
  <c r="P1684"/>
  <c r="Z1681"/>
  <c r="Y1681"/>
  <c r="N1681"/>
  <c r="N1680" s="1"/>
  <c r="M1681"/>
  <c r="AA1681" s="1"/>
  <c r="AC1681" s="1"/>
  <c r="AC1682" s="1"/>
  <c r="L1680" s="1"/>
  <c r="Y1680"/>
  <c r="R1680"/>
  <c r="Z1680" s="1"/>
  <c r="P1680"/>
  <c r="M1680"/>
  <c r="AA1680" s="1"/>
  <c r="AC1680" s="1"/>
  <c r="Z1677"/>
  <c r="Y1677"/>
  <c r="N1677"/>
  <c r="N1676" s="1"/>
  <c r="M1677"/>
  <c r="AA1677" s="1"/>
  <c r="AC1677" s="1"/>
  <c r="AC1678" s="1"/>
  <c r="L1676" s="1"/>
  <c r="K1677"/>
  <c r="Y1676"/>
  <c r="R1676"/>
  <c r="Z1676" s="1"/>
  <c r="P1676"/>
  <c r="M1676"/>
  <c r="AA1676" s="1"/>
  <c r="AC1676" s="1"/>
  <c r="AD1674"/>
  <c r="AC1674"/>
  <c r="AA1673"/>
  <c r="AC1673" s="1"/>
  <c r="Y1673"/>
  <c r="R1673"/>
  <c r="Z1673" s="1"/>
  <c r="P1673"/>
  <c r="N1673"/>
  <c r="L1673"/>
  <c r="AA1670"/>
  <c r="Z1670"/>
  <c r="AB1670" s="1"/>
  <c r="Y1670"/>
  <c r="Z1669"/>
  <c r="Y1669"/>
  <c r="N1669"/>
  <c r="M1669"/>
  <c r="AA1669" s="1"/>
  <c r="AC1669" s="1"/>
  <c r="Z1668"/>
  <c r="Y1668"/>
  <c r="N1668"/>
  <c r="M1668"/>
  <c r="AA1668" s="1"/>
  <c r="AC1668" s="1"/>
  <c r="Z1667"/>
  <c r="Y1667"/>
  <c r="N1667"/>
  <c r="M1667"/>
  <c r="AA1667" s="1"/>
  <c r="AC1667" s="1"/>
  <c r="Y1666"/>
  <c r="R1666"/>
  <c r="Z1666" s="1"/>
  <c r="P1666"/>
  <c r="M1666"/>
  <c r="AA1666" s="1"/>
  <c r="AC1666" s="1"/>
  <c r="AA1663"/>
  <c r="AC1663" s="1"/>
  <c r="Z1663"/>
  <c r="AB1663" s="1"/>
  <c r="Y1663"/>
  <c r="AA1662"/>
  <c r="Z1662"/>
  <c r="Y1662"/>
  <c r="N1662"/>
  <c r="K1662"/>
  <c r="AA1661"/>
  <c r="Z1661"/>
  <c r="Y1661"/>
  <c r="N1661"/>
  <c r="K1661"/>
  <c r="AA1660"/>
  <c r="Z1660"/>
  <c r="AB1660" s="1"/>
  <c r="Y1660"/>
  <c r="K1660"/>
  <c r="AA1659"/>
  <c r="AC1659" s="1"/>
  <c r="Z1659"/>
  <c r="AB1659" s="1"/>
  <c r="Y1659"/>
  <c r="Z1658"/>
  <c r="Y1658"/>
  <c r="N1658"/>
  <c r="M1658"/>
  <c r="AA1658" s="1"/>
  <c r="AC1658" s="1"/>
  <c r="AA1657"/>
  <c r="AC1657" s="1"/>
  <c r="Z1657"/>
  <c r="AB1657" s="1"/>
  <c r="Y1657"/>
  <c r="AA1656"/>
  <c r="AC1656" s="1"/>
  <c r="Z1656"/>
  <c r="Y1656"/>
  <c r="N1656"/>
  <c r="Y1655"/>
  <c r="R1655"/>
  <c r="Z1655" s="1"/>
  <c r="P1655"/>
  <c r="M1655"/>
  <c r="AA1655" s="1"/>
  <c r="AC1655" s="1"/>
  <c r="AA1652"/>
  <c r="AC1652" s="1"/>
  <c r="Z1652"/>
  <c r="AB1652" s="1"/>
  <c r="Y1652"/>
  <c r="AA1651"/>
  <c r="Z1651"/>
  <c r="Y1651"/>
  <c r="N1651"/>
  <c r="N1650" s="1"/>
  <c r="K1651"/>
  <c r="AA1650"/>
  <c r="AC1650" s="1"/>
  <c r="Y1650"/>
  <c r="R1650"/>
  <c r="Z1650" s="1"/>
  <c r="P1650"/>
  <c r="AA1647"/>
  <c r="AC1647" s="1"/>
  <c r="Z1647"/>
  <c r="Y1647"/>
  <c r="N1647"/>
  <c r="AA1646"/>
  <c r="AC1646" s="1"/>
  <c r="Z1646"/>
  <c r="Y1646"/>
  <c r="N1646"/>
  <c r="L1645" s="1"/>
  <c r="Y1645"/>
  <c r="R1645"/>
  <c r="Z1645" s="1"/>
  <c r="P1645"/>
  <c r="M1645"/>
  <c r="AA1645" s="1"/>
  <c r="AC1645" s="1"/>
  <c r="AA1642"/>
  <c r="AC1642" s="1"/>
  <c r="AC1643" s="1"/>
  <c r="Z1642"/>
  <c r="Y1642"/>
  <c r="N1642"/>
  <c r="N1641" s="1"/>
  <c r="L1641" s="1"/>
  <c r="Y1641"/>
  <c r="R1641"/>
  <c r="Z1641" s="1"/>
  <c r="P1641"/>
  <c r="M1641"/>
  <c r="AA1641" s="1"/>
  <c r="AC1641" s="1"/>
  <c r="AA1638"/>
  <c r="AC1638" s="1"/>
  <c r="AC1639" s="1"/>
  <c r="Z1638"/>
  <c r="Y1638"/>
  <c r="N1638"/>
  <c r="N1637" s="1"/>
  <c r="L1637" s="1"/>
  <c r="AA1637"/>
  <c r="AC1637" s="1"/>
  <c r="Y1637"/>
  <c r="R1637"/>
  <c r="Z1637" s="1"/>
  <c r="P1637"/>
  <c r="Z1634"/>
  <c r="AB1634" s="1"/>
  <c r="Y1634"/>
  <c r="AA1633"/>
  <c r="Z1633"/>
  <c r="Y1633"/>
  <c r="N1633"/>
  <c r="K1633"/>
  <c r="AA1632"/>
  <c r="AC1632" s="1"/>
  <c r="Z1632"/>
  <c r="Y1632"/>
  <c r="N1632"/>
  <c r="AA1631"/>
  <c r="AC1631" s="1"/>
  <c r="Z1631"/>
  <c r="AB1631" s="1"/>
  <c r="Y1631"/>
  <c r="Z1630"/>
  <c r="Y1630"/>
  <c r="N1630"/>
  <c r="N1628" s="1"/>
  <c r="M1630"/>
  <c r="AA1630" s="1"/>
  <c r="K1630"/>
  <c r="Z1629"/>
  <c r="AB1629" s="1"/>
  <c r="Y1629"/>
  <c r="M1629"/>
  <c r="AA1629" s="1"/>
  <c r="AC1629" s="1"/>
  <c r="AA1628"/>
  <c r="Y1628"/>
  <c r="R1628"/>
  <c r="Z1628" s="1"/>
  <c r="P1628"/>
  <c r="K1628"/>
  <c r="AA1625"/>
  <c r="AC1625" s="1"/>
  <c r="Z1625"/>
  <c r="AB1625" s="1"/>
  <c r="Y1625"/>
  <c r="AA1624"/>
  <c r="AC1624" s="1"/>
  <c r="Z1624"/>
  <c r="Y1624"/>
  <c r="N1624"/>
  <c r="N1622" s="1"/>
  <c r="Z1623"/>
  <c r="AB1623" s="1"/>
  <c r="Y1623"/>
  <c r="M1623"/>
  <c r="AA1623" s="1"/>
  <c r="AC1623" s="1"/>
  <c r="AA1622"/>
  <c r="AC1622" s="1"/>
  <c r="Y1622"/>
  <c r="R1622"/>
  <c r="Z1622" s="1"/>
  <c r="P1622"/>
  <c r="AA1619"/>
  <c r="AC1619" s="1"/>
  <c r="Z1619"/>
  <c r="AB1619" s="1"/>
  <c r="Y1619"/>
  <c r="AA1618"/>
  <c r="AC1618" s="1"/>
  <c r="Z1618"/>
  <c r="Y1618"/>
  <c r="N1618"/>
  <c r="N1617" s="1"/>
  <c r="AA1617"/>
  <c r="AC1617" s="1"/>
  <c r="Y1617"/>
  <c r="R1617"/>
  <c r="Z1617" s="1"/>
  <c r="P1617"/>
  <c r="L1617"/>
  <c r="AA1614"/>
  <c r="AC1614" s="1"/>
  <c r="Z1614"/>
  <c r="AB1614" s="1"/>
  <c r="Y1614"/>
  <c r="AA1613"/>
  <c r="AC1613" s="1"/>
  <c r="AC1615" s="1"/>
  <c r="Z1613"/>
  <c r="Y1613"/>
  <c r="N1613"/>
  <c r="Y1612"/>
  <c r="R1612"/>
  <c r="Z1612" s="1"/>
  <c r="P1612"/>
  <c r="M1612"/>
  <c r="AA1612" s="1"/>
  <c r="AC1612" s="1"/>
  <c r="AA1609"/>
  <c r="AC1609" s="1"/>
  <c r="Z1609"/>
  <c r="Y1609"/>
  <c r="S1609"/>
  <c r="N1609"/>
  <c r="AA1608"/>
  <c r="Z1608"/>
  <c r="Y1608"/>
  <c r="S1608"/>
  <c r="N1608"/>
  <c r="K1608"/>
  <c r="AA1607"/>
  <c r="AC1607" s="1"/>
  <c r="Z1607"/>
  <c r="Y1607"/>
  <c r="S1607"/>
  <c r="N1607"/>
  <c r="AA1606"/>
  <c r="Z1606"/>
  <c r="AB1606" s="1"/>
  <c r="Y1606"/>
  <c r="S1606"/>
  <c r="K1606"/>
  <c r="AA1605"/>
  <c r="AC1605" s="1"/>
  <c r="Z1605"/>
  <c r="Y1605"/>
  <c r="S1605"/>
  <c r="N1605"/>
  <c r="AA1604"/>
  <c r="AC1604" s="1"/>
  <c r="Z1604"/>
  <c r="Y1604"/>
  <c r="S1604"/>
  <c r="N1604"/>
  <c r="AA1603"/>
  <c r="AC1603" s="1"/>
  <c r="Z1603"/>
  <c r="AB1603" s="1"/>
  <c r="Y1603"/>
  <c r="S1603"/>
  <c r="AA1602"/>
  <c r="AC1602" s="1"/>
  <c r="Z1602"/>
  <c r="AB1602" s="1"/>
  <c r="Y1602"/>
  <c r="S1602"/>
  <c r="AA1601"/>
  <c r="AC1601" s="1"/>
  <c r="Z1601"/>
  <c r="Y1601"/>
  <c r="S1601"/>
  <c r="N1601"/>
  <c r="AA1600"/>
  <c r="AC1600" s="1"/>
  <c r="Z1600"/>
  <c r="Y1600"/>
  <c r="S1600"/>
  <c r="N1600"/>
  <c r="AA1599"/>
  <c r="AC1599" s="1"/>
  <c r="Z1599"/>
  <c r="Y1599"/>
  <c r="S1599"/>
  <c r="N1599"/>
  <c r="AA1598"/>
  <c r="AC1598" s="1"/>
  <c r="Z1598"/>
  <c r="AB1598" s="1"/>
  <c r="Y1598"/>
  <c r="S1598"/>
  <c r="AA1597"/>
  <c r="AC1597" s="1"/>
  <c r="Z1597"/>
  <c r="AB1597" s="1"/>
  <c r="Y1597"/>
  <c r="S1597"/>
  <c r="Y1596"/>
  <c r="R1596"/>
  <c r="Z1596" s="1"/>
  <c r="P1596"/>
  <c r="M1596"/>
  <c r="AA1596" s="1"/>
  <c r="AC1596" s="1"/>
  <c r="AA1593"/>
  <c r="Z1593"/>
  <c r="AB1593" s="1"/>
  <c r="Y1593"/>
  <c r="K1593"/>
  <c r="AA1592"/>
  <c r="Z1592"/>
  <c r="AB1592" s="1"/>
  <c r="Y1592"/>
  <c r="K1592"/>
  <c r="AA1591"/>
  <c r="Z1591"/>
  <c r="AB1591" s="1"/>
  <c r="K1591"/>
  <c r="AA1590"/>
  <c r="Z1590"/>
  <c r="Y1590"/>
  <c r="N1590"/>
  <c r="K1590"/>
  <c r="AA1589"/>
  <c r="Z1589"/>
  <c r="Y1589"/>
  <c r="N1589"/>
  <c r="K1589"/>
  <c r="AA1588"/>
  <c r="Z1588"/>
  <c r="Y1588"/>
  <c r="N1588"/>
  <c r="K1588"/>
  <c r="AA1587"/>
  <c r="Z1587"/>
  <c r="Y1587"/>
  <c r="N1587"/>
  <c r="K1587"/>
  <c r="AA1586"/>
  <c r="AC1586" s="1"/>
  <c r="Z1586"/>
  <c r="Y1586"/>
  <c r="N1586"/>
  <c r="AA1585"/>
  <c r="AC1585" s="1"/>
  <c r="Z1585"/>
  <c r="Y1585"/>
  <c r="N1585"/>
  <c r="AA1584"/>
  <c r="AC1584" s="1"/>
  <c r="Z1584"/>
  <c r="Y1584"/>
  <c r="N1584"/>
  <c r="AA1583"/>
  <c r="Z1583"/>
  <c r="Y1583"/>
  <c r="N1583"/>
  <c r="K1583"/>
  <c r="AA1582"/>
  <c r="Z1582"/>
  <c r="Y1582"/>
  <c r="N1582"/>
  <c r="K1582"/>
  <c r="AA1581"/>
  <c r="AC1581" s="1"/>
  <c r="Z1581"/>
  <c r="Y1581"/>
  <c r="N1581"/>
  <c r="AA1580"/>
  <c r="Z1580"/>
  <c r="Y1580"/>
  <c r="N1580"/>
  <c r="K1580"/>
  <c r="Z1579"/>
  <c r="Y1579"/>
  <c r="AA1579" s="1"/>
  <c r="N1579"/>
  <c r="K1579"/>
  <c r="Y1578"/>
  <c r="R1578"/>
  <c r="Z1578" s="1"/>
  <c r="P1578"/>
  <c r="M1578"/>
  <c r="AA1578" s="1"/>
  <c r="AC1578" s="1"/>
  <c r="Z1568"/>
  <c r="AB1568" s="1"/>
  <c r="AD1568" s="1"/>
  <c r="Y1568"/>
  <c r="AA1568" s="1"/>
  <c r="AE1567"/>
  <c r="R1567"/>
  <c r="Q1567"/>
  <c r="P1567"/>
  <c r="O1567"/>
  <c r="N1567"/>
  <c r="M1567"/>
  <c r="L1567"/>
  <c r="K1567"/>
  <c r="Z1566"/>
  <c r="AB1566" s="1"/>
  <c r="AD1566" s="1"/>
  <c r="Y1566"/>
  <c r="AA1566" s="1"/>
  <c r="AC1566" s="1"/>
  <c r="Z1565"/>
  <c r="AB1565" s="1"/>
  <c r="AD1565" s="1"/>
  <c r="Y1565"/>
  <c r="AA1565" s="1"/>
  <c r="AC1565" s="1"/>
  <c r="Z1564"/>
  <c r="AB1564" s="1"/>
  <c r="AD1564" s="1"/>
  <c r="Y1564"/>
  <c r="AA1564" s="1"/>
  <c r="AC1564" s="1"/>
  <c r="Z1563"/>
  <c r="AB1563" s="1"/>
  <c r="AD1563" s="1"/>
  <c r="Y1563"/>
  <c r="AA1563" s="1"/>
  <c r="AC1563" s="1"/>
  <c r="Z1562"/>
  <c r="Y1562"/>
  <c r="AA1562" s="1"/>
  <c r="AC1562" s="1"/>
  <c r="AE1561"/>
  <c r="R1561"/>
  <c r="Q1561"/>
  <c r="P1561"/>
  <c r="O1561"/>
  <c r="N1561"/>
  <c r="M1561"/>
  <c r="L1561"/>
  <c r="K1561"/>
  <c r="Z1560"/>
  <c r="AB1560" s="1"/>
  <c r="AD1560" s="1"/>
  <c r="Y1560"/>
  <c r="AA1560" s="1"/>
  <c r="AC1560" s="1"/>
  <c r="Z1559"/>
  <c r="AB1559" s="1"/>
  <c r="AD1559" s="1"/>
  <c r="Y1559"/>
  <c r="AA1559" s="1"/>
  <c r="AC1559" s="1"/>
  <c r="Z1558"/>
  <c r="AB1558" s="1"/>
  <c r="AD1558" s="1"/>
  <c r="Y1558"/>
  <c r="AA1558" s="1"/>
  <c r="AC1558" s="1"/>
  <c r="Z1557"/>
  <c r="AB1557" s="1"/>
  <c r="AD1557" s="1"/>
  <c r="Y1557"/>
  <c r="AA1557" s="1"/>
  <c r="AC1557" s="1"/>
  <c r="Z1556"/>
  <c r="AB1556" s="1"/>
  <c r="AD1556" s="1"/>
  <c r="Y1556"/>
  <c r="AA1556" s="1"/>
  <c r="AC1556" s="1"/>
  <c r="AA1555"/>
  <c r="AC1555" s="1"/>
  <c r="Z1555"/>
  <c r="AB1555" s="1"/>
  <c r="AD1555" s="1"/>
  <c r="Y1555"/>
  <c r="Z1554"/>
  <c r="AB1554" s="1"/>
  <c r="AD1554" s="1"/>
  <c r="Y1554"/>
  <c r="AA1554" s="1"/>
  <c r="AC1554" s="1"/>
  <c r="AB1553"/>
  <c r="AD1553" s="1"/>
  <c r="Z1553"/>
  <c r="Y1553"/>
  <c r="AA1553" s="1"/>
  <c r="AC1553" s="1"/>
  <c r="AC1552"/>
  <c r="Z1552"/>
  <c r="AB1552" s="1"/>
  <c r="AD1552" s="1"/>
  <c r="Y1552"/>
  <c r="AA1552" s="1"/>
  <c r="Z1551"/>
  <c r="AB1551" s="1"/>
  <c r="AD1551" s="1"/>
  <c r="Y1551"/>
  <c r="AA1551" s="1"/>
  <c r="AC1551" s="1"/>
  <c r="Z1550"/>
  <c r="AB1550" s="1"/>
  <c r="Y1550"/>
  <c r="Z1549"/>
  <c r="AB1549" s="1"/>
  <c r="AD1549" s="1"/>
  <c r="Y1549"/>
  <c r="AA1549" s="1"/>
  <c r="AC1549" s="1"/>
  <c r="R1548"/>
  <c r="Q1548"/>
  <c r="P1548"/>
  <c r="O1548"/>
  <c r="N1548"/>
  <c r="M1548"/>
  <c r="L1548"/>
  <c r="K1548"/>
  <c r="Z1547"/>
  <c r="AB1547" s="1"/>
  <c r="AD1547" s="1"/>
  <c r="Y1547"/>
  <c r="Z1546"/>
  <c r="AB1546" s="1"/>
  <c r="Y1546"/>
  <c r="AA1546" s="1"/>
  <c r="AC1546" s="1"/>
  <c r="R1545"/>
  <c r="Q1545"/>
  <c r="P1545"/>
  <c r="O1545"/>
  <c r="N1545"/>
  <c r="M1545"/>
  <c r="L1545"/>
  <c r="K1545"/>
  <c r="Z1544"/>
  <c r="AB1544" s="1"/>
  <c r="AD1544" s="1"/>
  <c r="Y1544"/>
  <c r="AA1544" s="1"/>
  <c r="AC1544" s="1"/>
  <c r="Z1543"/>
  <c r="AB1543" s="1"/>
  <c r="AD1543" s="1"/>
  <c r="Y1543"/>
  <c r="AA1543" s="1"/>
  <c r="AC1543" s="1"/>
  <c r="Z1542"/>
  <c r="AB1542" s="1"/>
  <c r="AD1542" s="1"/>
  <c r="Y1542"/>
  <c r="Z1541"/>
  <c r="AB1541" s="1"/>
  <c r="Y1541"/>
  <c r="AA1541" s="1"/>
  <c r="AC1541" s="1"/>
  <c r="R1540"/>
  <c r="Q1540"/>
  <c r="P1540"/>
  <c r="O1540"/>
  <c r="N1540"/>
  <c r="M1540"/>
  <c r="L1540"/>
  <c r="K1540"/>
  <c r="Z1539"/>
  <c r="AB1539" s="1"/>
  <c r="AD1539" s="1"/>
  <c r="Y1539"/>
  <c r="AA1539" s="1"/>
  <c r="AC1539" s="1"/>
  <c r="Z1538"/>
  <c r="AB1538" s="1"/>
  <c r="AD1538" s="1"/>
  <c r="Y1538"/>
  <c r="AA1538" s="1"/>
  <c r="AC1538" s="1"/>
  <c r="Z1537"/>
  <c r="AB1537" s="1"/>
  <c r="AD1537" s="1"/>
  <c r="Y1537"/>
  <c r="AA1537" s="1"/>
  <c r="AC1537" s="1"/>
  <c r="AA1536"/>
  <c r="AC1536" s="1"/>
  <c r="Z1536"/>
  <c r="AB1536" s="1"/>
  <c r="AD1536" s="1"/>
  <c r="Y1536"/>
  <c r="Z1535"/>
  <c r="AB1535" s="1"/>
  <c r="AD1535" s="1"/>
  <c r="Y1535"/>
  <c r="AA1535" s="1"/>
  <c r="AC1535" s="1"/>
  <c r="Z1534"/>
  <c r="AB1534" s="1"/>
  <c r="AD1534" s="1"/>
  <c r="Y1534"/>
  <c r="AA1534" s="1"/>
  <c r="AC1534" s="1"/>
  <c r="Z1533"/>
  <c r="AB1533" s="1"/>
  <c r="AD1533" s="1"/>
  <c r="Y1533"/>
  <c r="AA1533" s="1"/>
  <c r="AC1533" s="1"/>
  <c r="Z1532"/>
  <c r="AB1532" s="1"/>
  <c r="AD1532" s="1"/>
  <c r="Y1532"/>
  <c r="AA1532" s="1"/>
  <c r="AC1532" s="1"/>
  <c r="Z1531"/>
  <c r="AB1531" s="1"/>
  <c r="AD1531" s="1"/>
  <c r="Y1531"/>
  <c r="AA1531" s="1"/>
  <c r="AC1531" s="1"/>
  <c r="Z1530"/>
  <c r="AB1530" s="1"/>
  <c r="AD1530" s="1"/>
  <c r="Y1530"/>
  <c r="AA1530" s="1"/>
  <c r="AC1530" s="1"/>
  <c r="Z1529"/>
  <c r="AB1529" s="1"/>
  <c r="Y1529"/>
  <c r="AA1529" s="1"/>
  <c r="AC1529" s="1"/>
  <c r="R1528"/>
  <c r="Q1528"/>
  <c r="P1528"/>
  <c r="O1528"/>
  <c r="N1528"/>
  <c r="M1528"/>
  <c r="L1528"/>
  <c r="K1528"/>
  <c r="Z1527"/>
  <c r="AB1527" s="1"/>
  <c r="AD1527" s="1"/>
  <c r="Y1527"/>
  <c r="AA1527" s="1"/>
  <c r="K1527"/>
  <c r="Z1526"/>
  <c r="AB1526" s="1"/>
  <c r="AD1526" s="1"/>
  <c r="Y1526"/>
  <c r="AA1526" s="1"/>
  <c r="K1526"/>
  <c r="Z1525"/>
  <c r="AB1525" s="1"/>
  <c r="AD1525" s="1"/>
  <c r="Y1525"/>
  <c r="AA1525" s="1"/>
  <c r="AC1525" s="1"/>
  <c r="Z1524"/>
  <c r="AB1524" s="1"/>
  <c r="AD1524" s="1"/>
  <c r="Y1524"/>
  <c r="AA1524" s="1"/>
  <c r="AC1524" s="1"/>
  <c r="Z1523"/>
  <c r="AB1523" s="1"/>
  <c r="AD1523" s="1"/>
  <c r="Y1523"/>
  <c r="AA1523" s="1"/>
  <c r="AC1523" s="1"/>
  <c r="Z1522"/>
  <c r="AB1522" s="1"/>
  <c r="AD1522" s="1"/>
  <c r="Y1522"/>
  <c r="AA1522" s="1"/>
  <c r="AC1522" s="1"/>
  <c r="Z1516"/>
  <c r="L1516"/>
  <c r="Z1515"/>
  <c r="AB1515" s="1"/>
  <c r="P1515"/>
  <c r="L1515"/>
  <c r="M1515" s="1"/>
  <c r="AA1515" s="1"/>
  <c r="AC1515" s="1"/>
  <c r="Z1514"/>
  <c r="AB1514" s="1"/>
  <c r="P1514"/>
  <c r="O1514" s="1"/>
  <c r="L1514"/>
  <c r="Q1514" s="1"/>
  <c r="Z1513"/>
  <c r="AB1513" s="1"/>
  <c r="P1513"/>
  <c r="L1513"/>
  <c r="Q1513" s="1"/>
  <c r="Z1512"/>
  <c r="AB1512" s="1"/>
  <c r="L1512"/>
  <c r="O1512" s="1"/>
  <c r="Z1511"/>
  <c r="L1511"/>
  <c r="O1511" s="1"/>
  <c r="Z1510"/>
  <c r="L1510"/>
  <c r="O1510" s="1"/>
  <c r="Z1509"/>
  <c r="L1509"/>
  <c r="O1509" s="1"/>
  <c r="Z1508"/>
  <c r="AB1508" s="1"/>
  <c r="L1508"/>
  <c r="O1508" s="1"/>
  <c r="Z1507"/>
  <c r="L1507"/>
  <c r="O1507" s="1"/>
  <c r="Z1506"/>
  <c r="P1506"/>
  <c r="L1506"/>
  <c r="Q1506" s="1"/>
  <c r="Z1505"/>
  <c r="AB1505" s="1"/>
  <c r="P1505"/>
  <c r="L1505"/>
  <c r="Q1505" s="1"/>
  <c r="Z1504"/>
  <c r="L1504"/>
  <c r="O1504" s="1"/>
  <c r="Z1503"/>
  <c r="AB1503" s="1"/>
  <c r="P1503"/>
  <c r="L1503"/>
  <c r="Q1503" s="1"/>
  <c r="Z1502"/>
  <c r="AB1502" s="1"/>
  <c r="P1502"/>
  <c r="L1502"/>
  <c r="Q1502" s="1"/>
  <c r="Z1501"/>
  <c r="AB1501" s="1"/>
  <c r="L1501"/>
  <c r="M1501" s="1"/>
  <c r="AA1501" s="1"/>
  <c r="AC1501" s="1"/>
  <c r="Z1500"/>
  <c r="AB1500" s="1"/>
  <c r="L1500"/>
  <c r="O1500" s="1"/>
  <c r="Z1499"/>
  <c r="AB1499" s="1"/>
  <c r="P1499"/>
  <c r="L1499"/>
  <c r="M1499" s="1"/>
  <c r="AA1499" s="1"/>
  <c r="AC1499" s="1"/>
  <c r="Z1498"/>
  <c r="AB1498" s="1"/>
  <c r="P1498"/>
  <c r="L1498"/>
  <c r="Q1498" s="1"/>
  <c r="Z1497"/>
  <c r="AB1497" s="1"/>
  <c r="P1497"/>
  <c r="L1497"/>
  <c r="Q1497" s="1"/>
  <c r="Z1496"/>
  <c r="AB1496" s="1"/>
  <c r="AD1496" s="1"/>
  <c r="L1496"/>
  <c r="O1496" s="1"/>
  <c r="Z1495"/>
  <c r="AB1495" s="1"/>
  <c r="P1495"/>
  <c r="L1495"/>
  <c r="Q1495" s="1"/>
  <c r="AB1494"/>
  <c r="Z1494"/>
  <c r="P1494"/>
  <c r="L1494"/>
  <c r="Q1494" s="1"/>
  <c r="Z1493"/>
  <c r="P1493"/>
  <c r="L1493"/>
  <c r="Q1493" s="1"/>
  <c r="R1492"/>
  <c r="AC1491"/>
  <c r="AB1491"/>
  <c r="L1491"/>
  <c r="O1491" s="1"/>
  <c r="O1490" s="1"/>
  <c r="AC1490"/>
  <c r="AB1490"/>
  <c r="AA1490"/>
  <c r="Z1490"/>
  <c r="Y1490"/>
  <c r="X1490"/>
  <c r="W1490"/>
  <c r="V1490"/>
  <c r="U1490"/>
  <c r="T1490"/>
  <c r="R1490"/>
  <c r="Q1490"/>
  <c r="P1490"/>
  <c r="N1490"/>
  <c r="AC1489"/>
  <c r="AB1489"/>
  <c r="Q1489"/>
  <c r="P1489"/>
  <c r="L1489"/>
  <c r="AB1488"/>
  <c r="Y1488"/>
  <c r="W1488"/>
  <c r="U1488"/>
  <c r="R1488"/>
  <c r="P1488"/>
  <c r="N1488"/>
  <c r="AE1487"/>
  <c r="AE1491" s="1"/>
  <c r="AE1493" s="1"/>
  <c r="AE1494" s="1"/>
  <c r="AE1495" s="1"/>
  <c r="AE1498" s="1"/>
  <c r="AE1499" s="1"/>
  <c r="AE1496" s="1"/>
  <c r="AE1505" s="1"/>
  <c r="AE1500" s="1"/>
  <c r="AE1497" s="1"/>
  <c r="AE1506" s="1"/>
  <c r="AE1501" s="1"/>
  <c r="AE1502" s="1"/>
  <c r="AE1503" s="1"/>
  <c r="AB1487"/>
  <c r="Y1487"/>
  <c r="AA1487" s="1"/>
  <c r="AC1487" s="1"/>
  <c r="L1487"/>
  <c r="L1486" s="1"/>
  <c r="W1486"/>
  <c r="U1486"/>
  <c r="S1486"/>
  <c r="Q1486"/>
  <c r="P1486"/>
  <c r="N1486"/>
  <c r="M1486"/>
  <c r="R1485"/>
  <c r="Z1485" s="1"/>
  <c r="P1485"/>
  <c r="L1485"/>
  <c r="M1485" s="1"/>
  <c r="R1484"/>
  <c r="Z1484" s="1"/>
  <c r="P1484"/>
  <c r="L1484"/>
  <c r="R1483"/>
  <c r="Z1483" s="1"/>
  <c r="Y1483" s="1"/>
  <c r="P1483"/>
  <c r="L1483"/>
  <c r="Z1482"/>
  <c r="N1482"/>
  <c r="L1482"/>
  <c r="O1482" s="1"/>
  <c r="R1481"/>
  <c r="Z1481" s="1"/>
  <c r="Y1481" s="1"/>
  <c r="P1481"/>
  <c r="N1481"/>
  <c r="L1481"/>
  <c r="N1480"/>
  <c r="AB1480" s="1"/>
  <c r="L1480"/>
  <c r="O1480" s="1"/>
  <c r="AB1479"/>
  <c r="AD1479" s="1"/>
  <c r="O1479"/>
  <c r="M1479"/>
  <c r="AA1479" s="1"/>
  <c r="AC1479" s="1"/>
  <c r="Z1478"/>
  <c r="AB1478" s="1"/>
  <c r="AD1478" s="1"/>
  <c r="O1478"/>
  <c r="M1478"/>
  <c r="AA1478" s="1"/>
  <c r="AC1478" s="1"/>
  <c r="Z1477"/>
  <c r="AB1477" s="1"/>
  <c r="AD1477" s="1"/>
  <c r="O1477"/>
  <c r="M1477"/>
  <c r="AA1477" s="1"/>
  <c r="AC1477" s="1"/>
  <c r="Z1476"/>
  <c r="AB1476" s="1"/>
  <c r="AD1476" s="1"/>
  <c r="O1476"/>
  <c r="M1476"/>
  <c r="AA1476" s="1"/>
  <c r="AC1476" s="1"/>
  <c r="AE1475"/>
  <c r="AE1476" s="1"/>
  <c r="AE1477" s="1"/>
  <c r="AE1478" s="1"/>
  <c r="AE1479" s="1"/>
  <c r="AE1480" s="1"/>
  <c r="AE1481" s="1"/>
  <c r="AE1482" s="1"/>
  <c r="AE1483" s="1"/>
  <c r="AE1484" s="1"/>
  <c r="AE1485" s="1"/>
  <c r="Z1475"/>
  <c r="AB1475" s="1"/>
  <c r="AD1475" s="1"/>
  <c r="O1475"/>
  <c r="M1475"/>
  <c r="AA1475" s="1"/>
  <c r="AC1475" s="1"/>
  <c r="Z1474"/>
  <c r="AB1474" s="1"/>
  <c r="AD1474" s="1"/>
  <c r="O1474"/>
  <c r="M1474"/>
  <c r="AA1474" s="1"/>
  <c r="AC1474" s="1"/>
  <c r="Z1473"/>
  <c r="AB1473" s="1"/>
  <c r="AD1473" s="1"/>
  <c r="O1473"/>
  <c r="M1473"/>
  <c r="AA1473" s="1"/>
  <c r="AC1473" s="1"/>
  <c r="Z1472"/>
  <c r="AB1472" s="1"/>
  <c r="AD1472" s="1"/>
  <c r="O1472"/>
  <c r="M1472"/>
  <c r="AA1472" s="1"/>
  <c r="AC1472" s="1"/>
  <c r="Z1471"/>
  <c r="AB1471" s="1"/>
  <c r="O1471"/>
  <c r="M1471"/>
  <c r="AA1471" s="1"/>
  <c r="R1470"/>
  <c r="Z1469"/>
  <c r="AB1469" s="1"/>
  <c r="P1469"/>
  <c r="L1469"/>
  <c r="M1469" s="1"/>
  <c r="Z1468"/>
  <c r="AB1468" s="1"/>
  <c r="P1468"/>
  <c r="L1468"/>
  <c r="M1468" s="1"/>
  <c r="Z1467"/>
  <c r="AB1467" s="1"/>
  <c r="P1467"/>
  <c r="L1467"/>
  <c r="M1467" s="1"/>
  <c r="Z1466"/>
  <c r="AB1466" s="1"/>
  <c r="P1466"/>
  <c r="L1466"/>
  <c r="M1466" s="1"/>
  <c r="Z1465"/>
  <c r="AB1465" s="1"/>
  <c r="P1465"/>
  <c r="L1465"/>
  <c r="M1465" s="1"/>
  <c r="Z1464"/>
  <c r="P1464"/>
  <c r="L1464"/>
  <c r="M1464" s="1"/>
  <c r="Z1463"/>
  <c r="P1463"/>
  <c r="L1463"/>
  <c r="M1463" s="1"/>
  <c r="Z1462"/>
  <c r="Y1462" s="1"/>
  <c r="P1462"/>
  <c r="L1462"/>
  <c r="M1462" s="1"/>
  <c r="Z1461"/>
  <c r="P1461"/>
  <c r="L1461"/>
  <c r="M1461" s="1"/>
  <c r="R1460"/>
  <c r="Z1460" s="1"/>
  <c r="P1460"/>
  <c r="L1460"/>
  <c r="AE1459"/>
  <c r="AE1460" s="1"/>
  <c r="AE1461" s="1"/>
  <c r="AE1462" s="1"/>
  <c r="AE1463" s="1"/>
  <c r="AE1464" s="1"/>
  <c r="AE1465" s="1"/>
  <c r="AE1466" s="1"/>
  <c r="AE1467" s="1"/>
  <c r="Z1459"/>
  <c r="Y1459" s="1"/>
  <c r="P1459"/>
  <c r="Q1459" s="1"/>
  <c r="N1459"/>
  <c r="L1459"/>
  <c r="X1458"/>
  <c r="W1458"/>
  <c r="V1458"/>
  <c r="U1458"/>
  <c r="T1458"/>
  <c r="S1458"/>
  <c r="Y1450"/>
  <c r="Z1449"/>
  <c r="AB1449" s="1"/>
  <c r="AD1449" s="1"/>
  <c r="Y1449"/>
  <c r="AA1449" s="1"/>
  <c r="AC1449" s="1"/>
  <c r="Z1448"/>
  <c r="AB1448" s="1"/>
  <c r="AD1448" s="1"/>
  <c r="Y1448"/>
  <c r="AA1448" s="1"/>
  <c r="AC1448" s="1"/>
  <c r="Z1447"/>
  <c r="AB1447" s="1"/>
  <c r="AD1447" s="1"/>
  <c r="Y1447"/>
  <c r="AA1447" s="1"/>
  <c r="AC1447" s="1"/>
  <c r="Z1446"/>
  <c r="AB1446" s="1"/>
  <c r="AD1446" s="1"/>
  <c r="Y1446"/>
  <c r="AA1446" s="1"/>
  <c r="AC1446" s="1"/>
  <c r="Z1445"/>
  <c r="Z1444"/>
  <c r="Z1443"/>
  <c r="AB1443" s="1"/>
  <c r="AD1443" s="1"/>
  <c r="Y1443"/>
  <c r="AA1443" s="1"/>
  <c r="AC1443" s="1"/>
  <c r="Z1442"/>
  <c r="AB1442" s="1"/>
  <c r="AD1442" s="1"/>
  <c r="Y1442"/>
  <c r="AA1442" s="1"/>
  <c r="AC1442" s="1"/>
  <c r="Z1441"/>
  <c r="AB1441" s="1"/>
  <c r="AD1441" s="1"/>
  <c r="Y1441"/>
  <c r="AA1441" s="1"/>
  <c r="AC1441" s="1"/>
  <c r="Z1440"/>
  <c r="AB1440" s="1"/>
  <c r="AD1440" s="1"/>
  <c r="Y1440"/>
  <c r="AA1440" s="1"/>
  <c r="AC1440" s="1"/>
  <c r="Z1439"/>
  <c r="AB1439" s="1"/>
  <c r="AD1439" s="1"/>
  <c r="Y1439"/>
  <c r="AA1439" s="1"/>
  <c r="AC1439" s="1"/>
  <c r="Z1438"/>
  <c r="AB1438" s="1"/>
  <c r="AD1438" s="1"/>
  <c r="Y1438"/>
  <c r="AA1438" s="1"/>
  <c r="AC1438" s="1"/>
  <c r="Z1437"/>
  <c r="AB1437" s="1"/>
  <c r="AD1437" s="1"/>
  <c r="Z1436"/>
  <c r="AB1436" s="1"/>
  <c r="AD1436" s="1"/>
  <c r="Y1436"/>
  <c r="AA1436" s="1"/>
  <c r="AC1436" s="1"/>
  <c r="Z1435"/>
  <c r="AB1435" s="1"/>
  <c r="AD1435" s="1"/>
  <c r="Y1435"/>
  <c r="AA1435" s="1"/>
  <c r="AC1435" s="1"/>
  <c r="Z1434"/>
  <c r="AB1434" s="1"/>
  <c r="AD1434" s="1"/>
  <c r="Y1434"/>
  <c r="AA1434" s="1"/>
  <c r="AC1434" s="1"/>
  <c r="Z1433"/>
  <c r="AB1433" s="1"/>
  <c r="AD1433" s="1"/>
  <c r="Y1433"/>
  <c r="AA1433" s="1"/>
  <c r="AC1433" s="1"/>
  <c r="Z1432"/>
  <c r="AB1432" s="1"/>
  <c r="AD1432" s="1"/>
  <c r="Y1432"/>
  <c r="AA1432" s="1"/>
  <c r="AC1432" s="1"/>
  <c r="Z1431"/>
  <c r="AB1431" s="1"/>
  <c r="AD1431" s="1"/>
  <c r="Y1431"/>
  <c r="AA1431" s="1"/>
  <c r="AC1431" s="1"/>
  <c r="Z1430"/>
  <c r="AB1430" s="1"/>
  <c r="AD1430" s="1"/>
  <c r="Y1430"/>
  <c r="AA1430" s="1"/>
  <c r="AC1430" s="1"/>
  <c r="Z1429"/>
  <c r="AB1429" s="1"/>
  <c r="AD1429" s="1"/>
  <c r="Y1429"/>
  <c r="AA1429" s="1"/>
  <c r="AC1429" s="1"/>
  <c r="Z1428"/>
  <c r="AB1428" s="1"/>
  <c r="AD1428" s="1"/>
  <c r="Y1428"/>
  <c r="AA1428" s="1"/>
  <c r="AC1428" s="1"/>
  <c r="AB1427"/>
  <c r="AD1427" s="1"/>
  <c r="Z1427"/>
  <c r="Y1427"/>
  <c r="AA1427" s="1"/>
  <c r="AC1427" s="1"/>
  <c r="Z1426"/>
  <c r="AB1426" s="1"/>
  <c r="AD1426" s="1"/>
  <c r="Y1426"/>
  <c r="AA1426" s="1"/>
  <c r="AC1426" s="1"/>
  <c r="Z1425"/>
  <c r="AB1425" s="1"/>
  <c r="AD1425" s="1"/>
  <c r="Y1425"/>
  <c r="AA1425" s="1"/>
  <c r="AC1425" s="1"/>
  <c r="Z1424"/>
  <c r="AB1424" s="1"/>
  <c r="AD1424" s="1"/>
  <c r="Y1424"/>
  <c r="AA1424" s="1"/>
  <c r="AC1424" s="1"/>
  <c r="Z1423"/>
  <c r="AB1423" s="1"/>
  <c r="AD1423" s="1"/>
  <c r="Y1423"/>
  <c r="AA1423" s="1"/>
  <c r="AC1423" s="1"/>
  <c r="Z1422"/>
  <c r="AB1422" s="1"/>
  <c r="AD1422" s="1"/>
  <c r="Y1422"/>
  <c r="AA1422" s="1"/>
  <c r="AC1422" s="1"/>
  <c r="Z1421"/>
  <c r="AB1421" s="1"/>
  <c r="AD1421" s="1"/>
  <c r="Y1421"/>
  <c r="AA1421" s="1"/>
  <c r="AC1421" s="1"/>
  <c r="AA1420"/>
  <c r="AC1420" s="1"/>
  <c r="Z1420"/>
  <c r="AB1420" s="1"/>
  <c r="AD1420" s="1"/>
  <c r="Y1420"/>
  <c r="Z1419"/>
  <c r="AB1419" s="1"/>
  <c r="AD1419" s="1"/>
  <c r="Y1419"/>
  <c r="AA1419" s="1"/>
  <c r="AC1419" s="1"/>
  <c r="Z1418"/>
  <c r="AB1418" s="1"/>
  <c r="AD1418" s="1"/>
  <c r="Y1418"/>
  <c r="AA1418" s="1"/>
  <c r="AC1418" s="1"/>
  <c r="Z1417"/>
  <c r="AB1417" s="1"/>
  <c r="AD1417" s="1"/>
  <c r="Y1417"/>
  <c r="AA1417" s="1"/>
  <c r="AC1417" s="1"/>
  <c r="Z1416"/>
  <c r="AB1416" s="1"/>
  <c r="AD1416" s="1"/>
  <c r="Y1416"/>
  <c r="AA1416" s="1"/>
  <c r="AC1416" s="1"/>
  <c r="Z1415"/>
  <c r="AB1415" s="1"/>
  <c r="AD1415" s="1"/>
  <c r="Y1415"/>
  <c r="AA1415" s="1"/>
  <c r="AC1415" s="1"/>
  <c r="Z1414"/>
  <c r="AB1414" s="1"/>
  <c r="AD1414" s="1"/>
  <c r="Y1414"/>
  <c r="AA1414" s="1"/>
  <c r="AC1414" s="1"/>
  <c r="Z1413"/>
  <c r="AB1413" s="1"/>
  <c r="AD1413" s="1"/>
  <c r="Y1413"/>
  <c r="AA1413" s="1"/>
  <c r="AC1413" s="1"/>
  <c r="Z1412"/>
  <c r="AB1412" s="1"/>
  <c r="AD1412" s="1"/>
  <c r="Y1412"/>
  <c r="AA1412" s="1"/>
  <c r="AC1412" s="1"/>
  <c r="Z1411"/>
  <c r="AB1411" s="1"/>
  <c r="AD1411" s="1"/>
  <c r="Y1411"/>
  <c r="AA1411" s="1"/>
  <c r="AC1411" s="1"/>
  <c r="Z1410"/>
  <c r="AB1410" s="1"/>
  <c r="AD1410" s="1"/>
  <c r="Y1410"/>
  <c r="AA1410" s="1"/>
  <c r="AC1410" s="1"/>
  <c r="Z1409"/>
  <c r="AB1409" s="1"/>
  <c r="AD1409" s="1"/>
  <c r="Y1409"/>
  <c r="AA1409" s="1"/>
  <c r="AC1409" s="1"/>
  <c r="Z1408"/>
  <c r="AB1408" s="1"/>
  <c r="AD1408" s="1"/>
  <c r="Y1408"/>
  <c r="AA1408" s="1"/>
  <c r="AC1408" s="1"/>
  <c r="Z1407"/>
  <c r="AB1407" s="1"/>
  <c r="AD1407" s="1"/>
  <c r="Y1407"/>
  <c r="AA1407" s="1"/>
  <c r="AC1407" s="1"/>
  <c r="Z1406"/>
  <c r="AB1406" s="1"/>
  <c r="AD1406" s="1"/>
  <c r="Y1406"/>
  <c r="AA1406" s="1"/>
  <c r="AC1406" s="1"/>
  <c r="Z1405"/>
  <c r="AB1405" s="1"/>
  <c r="AD1405" s="1"/>
  <c r="Y1405"/>
  <c r="AA1405" s="1"/>
  <c r="AC1405" s="1"/>
  <c r="Z1404"/>
  <c r="AB1404" s="1"/>
  <c r="AD1404" s="1"/>
  <c r="Y1404"/>
  <c r="AA1404" s="1"/>
  <c r="AC1404" s="1"/>
  <c r="Z1403"/>
  <c r="AB1403" s="1"/>
  <c r="AD1403" s="1"/>
  <c r="Y1403"/>
  <c r="AA1403" s="1"/>
  <c r="AC1403" s="1"/>
  <c r="Z1402"/>
  <c r="AB1402" s="1"/>
  <c r="AD1402" s="1"/>
  <c r="Y1402"/>
  <c r="AA1402" s="1"/>
  <c r="AC1402" s="1"/>
  <c r="Z1401"/>
  <c r="AB1401" s="1"/>
  <c r="AD1401" s="1"/>
  <c r="Y1401"/>
  <c r="AA1401" s="1"/>
  <c r="AC1401" s="1"/>
  <c r="Z1400"/>
  <c r="AB1400" s="1"/>
  <c r="AD1400" s="1"/>
  <c r="Y1400"/>
  <c r="AA1400" s="1"/>
  <c r="AC1400" s="1"/>
  <c r="Z1399"/>
  <c r="AB1399" s="1"/>
  <c r="AD1399" s="1"/>
  <c r="Y1399"/>
  <c r="AA1399" s="1"/>
  <c r="AC1399" s="1"/>
  <c r="Z1393"/>
  <c r="AB1393" s="1"/>
  <c r="AD1393" s="1"/>
  <c r="Y1393"/>
  <c r="AA1393" s="1"/>
  <c r="AC1393" s="1"/>
  <c r="P1391"/>
  <c r="N1391"/>
  <c r="L1391"/>
  <c r="AB1389"/>
  <c r="AD1389" s="1"/>
  <c r="AA1389"/>
  <c r="AC1389" s="1"/>
  <c r="P1387"/>
  <c r="N1387"/>
  <c r="L1387"/>
  <c r="Z1385"/>
  <c r="AB1385" s="1"/>
  <c r="AD1385" s="1"/>
  <c r="Y1385"/>
  <c r="AA1385" s="1"/>
  <c r="AC1385" s="1"/>
  <c r="P1383"/>
  <c r="N1383"/>
  <c r="L1383"/>
  <c r="Z1381"/>
  <c r="AB1381" s="1"/>
  <c r="AD1381" s="1"/>
  <c r="Y1381"/>
  <c r="AA1381" s="1"/>
  <c r="AC1381" s="1"/>
  <c r="Z1380"/>
  <c r="AB1380" s="1"/>
  <c r="AD1380" s="1"/>
  <c r="Y1380"/>
  <c r="AA1380" s="1"/>
  <c r="AC1380" s="1"/>
  <c r="Z1379"/>
  <c r="AB1379" s="1"/>
  <c r="AD1379" s="1"/>
  <c r="Y1379"/>
  <c r="AA1379" s="1"/>
  <c r="AC1379" s="1"/>
  <c r="Z1378"/>
  <c r="Y1378"/>
  <c r="Z1377"/>
  <c r="AB1377" s="1"/>
  <c r="AD1377" s="1"/>
  <c r="Y1377"/>
  <c r="AA1377" s="1"/>
  <c r="AC1377" s="1"/>
  <c r="Z1376"/>
  <c r="AB1376" s="1"/>
  <c r="Z1375"/>
  <c r="P1375"/>
  <c r="N1375"/>
  <c r="L1375"/>
  <c r="Z1374"/>
  <c r="AB1374" s="1"/>
  <c r="Z1373"/>
  <c r="AB1373" s="1"/>
  <c r="Y1373"/>
  <c r="AA1373" s="1"/>
  <c r="Z1372"/>
  <c r="AB1372" s="1"/>
  <c r="AD1372" s="1"/>
  <c r="Y1372"/>
  <c r="AA1372" s="1"/>
  <c r="AC1372" s="1"/>
  <c r="Z1371"/>
  <c r="AB1371" s="1"/>
  <c r="AD1371" s="1"/>
  <c r="Y1371"/>
  <c r="AA1371" s="1"/>
  <c r="AC1371" s="1"/>
  <c r="Z1370"/>
  <c r="AB1370" s="1"/>
  <c r="AD1370" s="1"/>
  <c r="Y1370"/>
  <c r="AA1370" s="1"/>
  <c r="AC1370" s="1"/>
  <c r="AB1369"/>
  <c r="AD1369" s="1"/>
  <c r="AA1369"/>
  <c r="AC1369" s="1"/>
  <c r="Z1368"/>
  <c r="AB1368" s="1"/>
  <c r="AD1368" s="1"/>
  <c r="Y1368"/>
  <c r="AA1368" s="1"/>
  <c r="AC1368" s="1"/>
  <c r="Z1367"/>
  <c r="AB1367" s="1"/>
  <c r="Y1367"/>
  <c r="AA1367" s="1"/>
  <c r="AC1367" s="1"/>
  <c r="Z1366"/>
  <c r="AB1366" s="1"/>
  <c r="AD1366" s="1"/>
  <c r="Y1366"/>
  <c r="AA1366" s="1"/>
  <c r="AC1366" s="1"/>
  <c r="R1364"/>
  <c r="R1450" s="1"/>
  <c r="P1364"/>
  <c r="N1364"/>
  <c r="L1364"/>
  <c r="Z1363"/>
  <c r="AB1363" s="1"/>
  <c r="Y1363"/>
  <c r="AA1363" s="1"/>
  <c r="Z1362"/>
  <c r="AB1362" s="1"/>
  <c r="AD1362" s="1"/>
  <c r="Y1362"/>
  <c r="AA1362" s="1"/>
  <c r="AC1362" s="1"/>
  <c r="Z1361"/>
  <c r="AB1361" s="1"/>
  <c r="AD1361" s="1"/>
  <c r="Y1361"/>
  <c r="AA1361" s="1"/>
  <c r="AC1361" s="1"/>
  <c r="Z1360"/>
  <c r="AB1360" s="1"/>
  <c r="AD1360" s="1"/>
  <c r="Y1360"/>
  <c r="AA1360" s="1"/>
  <c r="AC1360" s="1"/>
  <c r="Z1359"/>
  <c r="AB1359" s="1"/>
  <c r="AD1359" s="1"/>
  <c r="Y1359"/>
  <c r="AA1359" s="1"/>
  <c r="AC1359" s="1"/>
  <c r="Z1358"/>
  <c r="AB1358" s="1"/>
  <c r="AD1358" s="1"/>
  <c r="Y1358"/>
  <c r="AA1358" s="1"/>
  <c r="AC1358" s="1"/>
  <c r="AA1357"/>
  <c r="AC1357" s="1"/>
  <c r="Z1357"/>
  <c r="AB1357" s="1"/>
  <c r="AD1357" s="1"/>
  <c r="Z1356"/>
  <c r="AB1356" s="1"/>
  <c r="AD1356" s="1"/>
  <c r="Y1356"/>
  <c r="AA1356" s="1"/>
  <c r="AC1356" s="1"/>
  <c r="Z1355"/>
  <c r="AB1355" s="1"/>
  <c r="AD1355" s="1"/>
  <c r="Y1355"/>
  <c r="AA1355" s="1"/>
  <c r="AC1355" s="1"/>
  <c r="Z1354"/>
  <c r="AB1354" s="1"/>
  <c r="AD1354" s="1"/>
  <c r="Y1354"/>
  <c r="AA1354" s="1"/>
  <c r="AC1354" s="1"/>
  <c r="AA1353"/>
  <c r="AC1353" s="1"/>
  <c r="Z1353"/>
  <c r="AB1353" s="1"/>
  <c r="AD1353" s="1"/>
  <c r="Z1352"/>
  <c r="Y1352"/>
  <c r="AA1352" s="1"/>
  <c r="AC1352" s="1"/>
  <c r="R1351"/>
  <c r="Z1351" s="1"/>
  <c r="P1351"/>
  <c r="N1351"/>
  <c r="L1351"/>
  <c r="AU1340"/>
  <c r="V1338"/>
  <c r="T1338"/>
  <c r="T1336" s="1"/>
  <c r="R1338"/>
  <c r="P1338"/>
  <c r="W1338" s="1"/>
  <c r="N1338"/>
  <c r="L1338"/>
  <c r="R1337"/>
  <c r="Z1337" s="1"/>
  <c r="P1337"/>
  <c r="W1337" s="1"/>
  <c r="N1337"/>
  <c r="L1337"/>
  <c r="X1336"/>
  <c r="O1336"/>
  <c r="M1336"/>
  <c r="L1336"/>
  <c r="K1336"/>
  <c r="Y1334"/>
  <c r="AA1334" s="1"/>
  <c r="AC1334" s="1"/>
  <c r="L1334"/>
  <c r="AB1333"/>
  <c r="Y1333"/>
  <c r="AA1333" s="1"/>
  <c r="AC1333" s="1"/>
  <c r="L1333"/>
  <c r="Y1332"/>
  <c r="AA1332" s="1"/>
  <c r="AC1332" s="1"/>
  <c r="L1332"/>
  <c r="Y1331"/>
  <c r="AA1331" s="1"/>
  <c r="AC1331" s="1"/>
  <c r="L1331"/>
  <c r="Y1330"/>
  <c r="AA1330" s="1"/>
  <c r="AC1330" s="1"/>
  <c r="L1330"/>
  <c r="Y1329"/>
  <c r="AA1329" s="1"/>
  <c r="AC1329" s="1"/>
  <c r="L1329"/>
  <c r="T1328"/>
  <c r="R1328"/>
  <c r="P1328"/>
  <c r="U1328" s="1"/>
  <c r="N1328"/>
  <c r="L1328"/>
  <c r="R1327"/>
  <c r="Z1327" s="1"/>
  <c r="P1327"/>
  <c r="S1327" s="1"/>
  <c r="N1327"/>
  <c r="L1327"/>
  <c r="R1326"/>
  <c r="P1326"/>
  <c r="U1326" s="1"/>
  <c r="N1326"/>
  <c r="L1326"/>
  <c r="Y1325"/>
  <c r="AA1325" s="1"/>
  <c r="AC1325" s="1"/>
  <c r="L1325"/>
  <c r="AB1324"/>
  <c r="Y1324"/>
  <c r="AA1324" s="1"/>
  <c r="AC1324" s="1"/>
  <c r="L1324"/>
  <c r="Y1323"/>
  <c r="AA1323" s="1"/>
  <c r="AC1323" s="1"/>
  <c r="L1323"/>
  <c r="Y1322"/>
  <c r="AA1322" s="1"/>
  <c r="AC1322" s="1"/>
  <c r="L1322"/>
  <c r="R1321"/>
  <c r="Z1321" s="1"/>
  <c r="P1321"/>
  <c r="U1321" s="1"/>
  <c r="N1321"/>
  <c r="L1321"/>
  <c r="R1320"/>
  <c r="Z1320" s="1"/>
  <c r="P1320"/>
  <c r="W1320" s="1"/>
  <c r="N1320"/>
  <c r="L1320"/>
  <c r="R1319"/>
  <c r="Z1319" s="1"/>
  <c r="P1319"/>
  <c r="W1319" s="1"/>
  <c r="N1319"/>
  <c r="R1318"/>
  <c r="Z1318" s="1"/>
  <c r="P1318"/>
  <c r="S1318" s="1"/>
  <c r="N1318"/>
  <c r="L1318"/>
  <c r="X1317"/>
  <c r="V1317"/>
  <c r="T1317"/>
  <c r="Q1317"/>
  <c r="O1317"/>
  <c r="M1317"/>
  <c r="K1317"/>
  <c r="Y1316"/>
  <c r="AA1316" s="1"/>
  <c r="AC1316" s="1"/>
  <c r="R1316"/>
  <c r="R1315" s="1"/>
  <c r="N1316"/>
  <c r="AB1316" s="1"/>
  <c r="L1316"/>
  <c r="L1315" s="1"/>
  <c r="Y1315"/>
  <c r="AA1315" s="1"/>
  <c r="AC1315" s="1"/>
  <c r="X1315"/>
  <c r="V1315"/>
  <c r="T1315"/>
  <c r="P1315"/>
  <c r="AB1314"/>
  <c r="AD1314" s="1"/>
  <c r="Y1314"/>
  <c r="AA1314" s="1"/>
  <c r="AC1314" s="1"/>
  <c r="Y1313"/>
  <c r="AA1313" s="1"/>
  <c r="AC1313" s="1"/>
  <c r="L1313"/>
  <c r="AB1312"/>
  <c r="Y1312"/>
  <c r="AA1312" s="1"/>
  <c r="R1312"/>
  <c r="R1311" s="1"/>
  <c r="L1312"/>
  <c r="X1311"/>
  <c r="W1311"/>
  <c r="V1311"/>
  <c r="U1311"/>
  <c r="T1311"/>
  <c r="S1311"/>
  <c r="Q1311"/>
  <c r="P1311"/>
  <c r="O1311"/>
  <c r="N1311"/>
  <c r="AB1311" s="1"/>
  <c r="M1311"/>
  <c r="L1311"/>
  <c r="K1311"/>
  <c r="Z1310"/>
  <c r="AB1310" s="1"/>
  <c r="AD1310" s="1"/>
  <c r="Y1310"/>
  <c r="AA1310" s="1"/>
  <c r="AC1310" s="1"/>
  <c r="L1310"/>
  <c r="Z1309"/>
  <c r="AB1309" s="1"/>
  <c r="AD1309" s="1"/>
  <c r="Y1309"/>
  <c r="AA1309" s="1"/>
  <c r="AC1309" s="1"/>
  <c r="L1309"/>
  <c r="Z1308"/>
  <c r="AB1308" s="1"/>
  <c r="AD1308" s="1"/>
  <c r="Y1308"/>
  <c r="AA1308" s="1"/>
  <c r="AC1308" s="1"/>
  <c r="L1308"/>
  <c r="R1307"/>
  <c r="Z1307" s="1"/>
  <c r="P1307"/>
  <c r="S1307" s="1"/>
  <c r="N1307"/>
  <c r="L1307"/>
  <c r="R1306"/>
  <c r="Z1306" s="1"/>
  <c r="P1306"/>
  <c r="S1306" s="1"/>
  <c r="N1306"/>
  <c r="L1306"/>
  <c r="Z1305"/>
  <c r="AB1305" s="1"/>
  <c r="AD1305" s="1"/>
  <c r="Y1305"/>
  <c r="AA1305" s="1"/>
  <c r="AC1305" s="1"/>
  <c r="L1305"/>
  <c r="R1304"/>
  <c r="Z1304" s="1"/>
  <c r="P1304"/>
  <c r="S1304" s="1"/>
  <c r="N1304"/>
  <c r="L1304"/>
  <c r="R1303"/>
  <c r="Z1303" s="1"/>
  <c r="P1303"/>
  <c r="U1303" s="1"/>
  <c r="N1303"/>
  <c r="L1303"/>
  <c r="X1302"/>
  <c r="V1302"/>
  <c r="T1302"/>
  <c r="O1302"/>
  <c r="M1302"/>
  <c r="K1302"/>
  <c r="R1300"/>
  <c r="Z1300" s="1"/>
  <c r="AB1300" s="1"/>
  <c r="P1300"/>
  <c r="L1300"/>
  <c r="R1299"/>
  <c r="Z1299" s="1"/>
  <c r="P1299"/>
  <c r="S1299" s="1"/>
  <c r="N1299"/>
  <c r="L1299"/>
  <c r="R1298"/>
  <c r="Z1298" s="1"/>
  <c r="P1298"/>
  <c r="W1298" s="1"/>
  <c r="N1298"/>
  <c r="L1298"/>
  <c r="R1297"/>
  <c r="Z1297" s="1"/>
  <c r="P1297"/>
  <c r="W1297" s="1"/>
  <c r="N1297"/>
  <c r="L1297"/>
  <c r="S1296"/>
  <c r="R1296"/>
  <c r="Z1296" s="1"/>
  <c r="P1296"/>
  <c r="W1296" s="1"/>
  <c r="N1296"/>
  <c r="L1296"/>
  <c r="R1295"/>
  <c r="Z1295" s="1"/>
  <c r="P1295"/>
  <c r="N1295"/>
  <c r="L1295"/>
  <c r="R1294"/>
  <c r="Z1294" s="1"/>
  <c r="P1294"/>
  <c r="W1294" s="1"/>
  <c r="N1294"/>
  <c r="L1294"/>
  <c r="R1293"/>
  <c r="Z1293" s="1"/>
  <c r="P1293"/>
  <c r="W1293" s="1"/>
  <c r="N1293"/>
  <c r="L1293"/>
  <c r="R1292"/>
  <c r="Z1292" s="1"/>
  <c r="P1292"/>
  <c r="S1292" s="1"/>
  <c r="N1292"/>
  <c r="L1292"/>
  <c r="R1291"/>
  <c r="Z1291" s="1"/>
  <c r="AB1291" s="1"/>
  <c r="P1291"/>
  <c r="N1291"/>
  <c r="L1291"/>
  <c r="R1290"/>
  <c r="P1290"/>
  <c r="W1290" s="1"/>
  <c r="N1290"/>
  <c r="L1290"/>
  <c r="R1289"/>
  <c r="Z1289" s="1"/>
  <c r="P1289"/>
  <c r="W1289" s="1"/>
  <c r="N1289"/>
  <c r="L1289"/>
  <c r="X1288"/>
  <c r="V1288"/>
  <c r="T1288"/>
  <c r="O1288"/>
  <c r="M1288"/>
  <c r="K1288"/>
  <c r="Z1282"/>
  <c r="AB1282" s="1"/>
  <c r="Y1282"/>
  <c r="AA1282" s="1"/>
  <c r="AC1282" s="1"/>
  <c r="Y1281"/>
  <c r="AA1281" s="1"/>
  <c r="AC1281" s="1"/>
  <c r="R1281"/>
  <c r="Z1281" s="1"/>
  <c r="P1281"/>
  <c r="N1281"/>
  <c r="AB1281" s="1"/>
  <c r="L1281"/>
  <c r="Z1280"/>
  <c r="Y1280"/>
  <c r="AA1280" s="1"/>
  <c r="AC1280" s="1"/>
  <c r="N1280"/>
  <c r="Z1279"/>
  <c r="Y1279"/>
  <c r="AA1279" s="1"/>
  <c r="AC1279" s="1"/>
  <c r="N1279"/>
  <c r="Z1278"/>
  <c r="Y1278"/>
  <c r="AA1278" s="1"/>
  <c r="AC1278" s="1"/>
  <c r="N1278"/>
  <c r="Y1277"/>
  <c r="AA1277" s="1"/>
  <c r="AC1277" s="1"/>
  <c r="R1277"/>
  <c r="Z1277" s="1"/>
  <c r="P1277"/>
  <c r="L1277"/>
  <c r="Z1276"/>
  <c r="AB1276" s="1"/>
  <c r="AD1276" s="1"/>
  <c r="Y1276"/>
  <c r="AA1276" s="1"/>
  <c r="AC1276" s="1"/>
  <c r="Z1275"/>
  <c r="Y1275"/>
  <c r="AA1275" s="1"/>
  <c r="AC1275" s="1"/>
  <c r="N1275"/>
  <c r="N1274" s="1"/>
  <c r="Y1274"/>
  <c r="AA1274" s="1"/>
  <c r="AC1274" s="1"/>
  <c r="R1274"/>
  <c r="Z1274" s="1"/>
  <c r="P1274"/>
  <c r="L1274"/>
  <c r="Z1273"/>
  <c r="Y1273"/>
  <c r="AA1273" s="1"/>
  <c r="AC1273" s="1"/>
  <c r="N1273"/>
  <c r="Z1272"/>
  <c r="Y1272"/>
  <c r="AA1272" s="1"/>
  <c r="AC1272" s="1"/>
  <c r="N1272"/>
  <c r="AB1272" s="1"/>
  <c r="AD1272" s="1"/>
  <c r="Y1271"/>
  <c r="AA1271" s="1"/>
  <c r="AC1271" s="1"/>
  <c r="N1271"/>
  <c r="AA1270"/>
  <c r="AC1270" s="1"/>
  <c r="Z1270"/>
  <c r="Y1270"/>
  <c r="N1270"/>
  <c r="Z1269"/>
  <c r="Y1269"/>
  <c r="AA1269" s="1"/>
  <c r="AC1269" s="1"/>
  <c r="N1269"/>
  <c r="Y1268"/>
  <c r="AA1268" s="1"/>
  <c r="AC1268" s="1"/>
  <c r="Y1267"/>
  <c r="AA1267" s="1"/>
  <c r="AC1267" s="1"/>
  <c r="R1267"/>
  <c r="Z1267" s="1"/>
  <c r="P1267"/>
  <c r="L1267"/>
  <c r="T1268" s="1"/>
  <c r="Z1264"/>
  <c r="AB1264" s="1"/>
  <c r="AD1264" s="1"/>
  <c r="Y1264"/>
  <c r="AA1264" s="1"/>
  <c r="AC1264" s="1"/>
  <c r="Z1263"/>
  <c r="AB1263" s="1"/>
  <c r="AD1263" s="1"/>
  <c r="Y1263"/>
  <c r="AA1263" s="1"/>
  <c r="AC1263" s="1"/>
  <c r="Z1262"/>
  <c r="Y1262"/>
  <c r="AA1262" s="1"/>
  <c r="AC1262" s="1"/>
  <c r="N1262"/>
  <c r="Z1261"/>
  <c r="Y1261"/>
  <c r="AA1261" s="1"/>
  <c r="AC1261" s="1"/>
  <c r="N1261"/>
  <c r="Z1260"/>
  <c r="AB1260" s="1"/>
  <c r="AD1260" s="1"/>
  <c r="Y1260"/>
  <c r="AA1260" s="1"/>
  <c r="AC1260" s="1"/>
  <c r="Z1259"/>
  <c r="Y1259"/>
  <c r="AA1259" s="1"/>
  <c r="AC1259" s="1"/>
  <c r="N1259"/>
  <c r="Z1258"/>
  <c r="AB1258" s="1"/>
  <c r="AD1258" s="1"/>
  <c r="Y1258"/>
  <c r="AA1258" s="1"/>
  <c r="AC1258" s="1"/>
  <c r="Z1257"/>
  <c r="AB1257" s="1"/>
  <c r="AD1257" s="1"/>
  <c r="Y1257"/>
  <c r="AA1257" s="1"/>
  <c r="AC1257" s="1"/>
  <c r="Z1256"/>
  <c r="Y1256"/>
  <c r="AA1256" s="1"/>
  <c r="AC1256" s="1"/>
  <c r="N1256"/>
  <c r="Z1255"/>
  <c r="Y1255"/>
  <c r="AA1255" s="1"/>
  <c r="AC1255" s="1"/>
  <c r="N1255"/>
  <c r="Z1254"/>
  <c r="Y1254"/>
  <c r="AA1254" s="1"/>
  <c r="AC1254" s="1"/>
  <c r="N1254"/>
  <c r="Z1253"/>
  <c r="Y1253"/>
  <c r="AA1253" s="1"/>
  <c r="AC1253" s="1"/>
  <c r="N1253"/>
  <c r="Z1252"/>
  <c r="Y1252"/>
  <c r="AA1252" s="1"/>
  <c r="AC1252" s="1"/>
  <c r="N1252"/>
  <c r="Y1251"/>
  <c r="AA1251" s="1"/>
  <c r="AC1251" s="1"/>
  <c r="R1251"/>
  <c r="Z1251" s="1"/>
  <c r="P1251"/>
  <c r="L1251"/>
  <c r="Z1250"/>
  <c r="Y1250"/>
  <c r="AA1250" s="1"/>
  <c r="AC1250" s="1"/>
  <c r="N1250"/>
  <c r="Y1249"/>
  <c r="AA1249" s="1"/>
  <c r="AC1249" s="1"/>
  <c r="Y1248"/>
  <c r="AA1248" s="1"/>
  <c r="AC1248" s="1"/>
  <c r="N1248"/>
  <c r="AB1248" s="1"/>
  <c r="AD1248" s="1"/>
  <c r="Z1247"/>
  <c r="AB1247" s="1"/>
  <c r="AD1247" s="1"/>
  <c r="Y1247"/>
  <c r="AA1247" s="1"/>
  <c r="AC1247" s="1"/>
  <c r="Z1246"/>
  <c r="AB1246" s="1"/>
  <c r="AD1246" s="1"/>
  <c r="Y1246"/>
  <c r="AA1246" s="1"/>
  <c r="AC1246" s="1"/>
  <c r="Z1245"/>
  <c r="AB1245" s="1"/>
  <c r="AD1245" s="1"/>
  <c r="Y1245"/>
  <c r="AA1245" s="1"/>
  <c r="AC1245" s="1"/>
  <c r="Z1244"/>
  <c r="AB1244" s="1"/>
  <c r="AD1244" s="1"/>
  <c r="Y1244"/>
  <c r="AA1244" s="1"/>
  <c r="AC1244" s="1"/>
  <c r="Z1243"/>
  <c r="AB1243" s="1"/>
  <c r="AD1243" s="1"/>
  <c r="Y1243"/>
  <c r="AA1243" s="1"/>
  <c r="AC1243" s="1"/>
  <c r="Y1242"/>
  <c r="AA1242" s="1"/>
  <c r="AC1242" s="1"/>
  <c r="N1242"/>
  <c r="AB1242" s="1"/>
  <c r="AD1242" s="1"/>
  <c r="Z1241"/>
  <c r="Y1241"/>
  <c r="AA1241" s="1"/>
  <c r="AC1241" s="1"/>
  <c r="N1241"/>
  <c r="Y1239"/>
  <c r="AA1239" s="1"/>
  <c r="AC1239" s="1"/>
  <c r="R1239"/>
  <c r="P1239"/>
  <c r="L1239"/>
  <c r="AA1234"/>
  <c r="AC1234" s="1"/>
  <c r="Z1234"/>
  <c r="N1234"/>
  <c r="P1233"/>
  <c r="AA1232"/>
  <c r="AC1232" s="1"/>
  <c r="Z1232"/>
  <c r="N1232"/>
  <c r="L1232"/>
  <c r="AA1231"/>
  <c r="AC1231" s="1"/>
  <c r="Z1231"/>
  <c r="N1231"/>
  <c r="L1231"/>
  <c r="AA1230"/>
  <c r="AC1230" s="1"/>
  <c r="Z1230"/>
  <c r="N1230"/>
  <c r="L1230"/>
  <c r="AA1229"/>
  <c r="AC1229" s="1"/>
  <c r="Z1229"/>
  <c r="N1229"/>
  <c r="L1229"/>
  <c r="P1228"/>
  <c r="Z1227"/>
  <c r="Y1227"/>
  <c r="AA1227" s="1"/>
  <c r="AC1227" s="1"/>
  <c r="N1227"/>
  <c r="Z1226"/>
  <c r="Y1226"/>
  <c r="AA1226" s="1"/>
  <c r="AC1226" s="1"/>
  <c r="N1226"/>
  <c r="Z1225"/>
  <c r="Y1225"/>
  <c r="AA1225" s="1"/>
  <c r="AC1225" s="1"/>
  <c r="N1225"/>
  <c r="Z1224"/>
  <c r="Y1224"/>
  <c r="AA1224" s="1"/>
  <c r="AC1224" s="1"/>
  <c r="N1224"/>
  <c r="Z1223"/>
  <c r="Y1223"/>
  <c r="AA1223" s="1"/>
  <c r="AC1223" s="1"/>
  <c r="N1223"/>
  <c r="Z1222"/>
  <c r="Y1222"/>
  <c r="AA1222" s="1"/>
  <c r="AC1222" s="1"/>
  <c r="N1222"/>
  <c r="Z1221"/>
  <c r="Y1221"/>
  <c r="AA1221" s="1"/>
  <c r="AC1221" s="1"/>
  <c r="N1221"/>
  <c r="Z1220"/>
  <c r="Y1220"/>
  <c r="AA1220" s="1"/>
  <c r="AC1220" s="1"/>
  <c r="N1220"/>
  <c r="Z1219"/>
  <c r="Y1219"/>
  <c r="AA1219" s="1"/>
  <c r="AC1219" s="1"/>
  <c r="N1219"/>
  <c r="Z1218"/>
  <c r="Y1218"/>
  <c r="AA1218" s="1"/>
  <c r="AC1218" s="1"/>
  <c r="N1218"/>
  <c r="Z1217"/>
  <c r="Y1217"/>
  <c r="AA1217" s="1"/>
  <c r="AC1217" s="1"/>
  <c r="N1217"/>
  <c r="Z1216"/>
  <c r="Y1216"/>
  <c r="AA1216" s="1"/>
  <c r="AC1216" s="1"/>
  <c r="N1216"/>
  <c r="Y1215"/>
  <c r="AA1215" s="1"/>
  <c r="AC1215" s="1"/>
  <c r="R1215"/>
  <c r="Z1215" s="1"/>
  <c r="L1215"/>
  <c r="Z1214"/>
  <c r="AB1214" s="1"/>
  <c r="Y1214"/>
  <c r="AA1214" s="1"/>
  <c r="AC1214" s="1"/>
  <c r="L1214"/>
  <c r="Z1213"/>
  <c r="Y1213"/>
  <c r="O1213"/>
  <c r="N1213"/>
  <c r="M1213"/>
  <c r="L1213"/>
  <c r="Z1212"/>
  <c r="Y1212"/>
  <c r="AA1212" s="1"/>
  <c r="AC1212" s="1"/>
  <c r="N1212"/>
  <c r="Z1211"/>
  <c r="AB1211" s="1"/>
  <c r="AD1211" s="1"/>
  <c r="Y1211"/>
  <c r="AA1211" s="1"/>
  <c r="AC1211" s="1"/>
  <c r="Z1210"/>
  <c r="AB1210" s="1"/>
  <c r="AD1210" s="1"/>
  <c r="Y1210"/>
  <c r="AA1210" s="1"/>
  <c r="K1210"/>
  <c r="Z1209"/>
  <c r="AB1209" s="1"/>
  <c r="AD1209" s="1"/>
  <c r="Y1209"/>
  <c r="AA1209" s="1"/>
  <c r="AC1209" s="1"/>
  <c r="K1209"/>
  <c r="Z1208"/>
  <c r="AB1208" s="1"/>
  <c r="AD1208" s="1"/>
  <c r="Y1208"/>
  <c r="AA1208" s="1"/>
  <c r="AC1208" s="1"/>
  <c r="Z1207"/>
  <c r="AB1207" s="1"/>
  <c r="Y1207"/>
  <c r="AA1207" s="1"/>
  <c r="AC1207" s="1"/>
  <c r="Z1206"/>
  <c r="P1206"/>
  <c r="Z1205"/>
  <c r="Y1205"/>
  <c r="AA1205" s="1"/>
  <c r="AC1205" s="1"/>
  <c r="N1205"/>
  <c r="R1204"/>
  <c r="Z1204" s="1"/>
  <c r="Q1204"/>
  <c r="Y1204" s="1"/>
  <c r="AA1204" s="1"/>
  <c r="AC1204" s="1"/>
  <c r="P1204"/>
  <c r="L1204"/>
  <c r="AA1203"/>
  <c r="AC1203" s="1"/>
  <c r="Z1203"/>
  <c r="Y1203"/>
  <c r="N1203"/>
  <c r="Z1202"/>
  <c r="Y1202"/>
  <c r="AA1202" s="1"/>
  <c r="AC1202" s="1"/>
  <c r="R1202"/>
  <c r="P1202"/>
  <c r="N1202"/>
  <c r="AB1202" s="1"/>
  <c r="L1202"/>
  <c r="Z1201"/>
  <c r="Y1201"/>
  <c r="AA1201" s="1"/>
  <c r="AC1201" s="1"/>
  <c r="N1201"/>
  <c r="AB1201" s="1"/>
  <c r="AD1201" s="1"/>
  <c r="L1201"/>
  <c r="Y1199"/>
  <c r="AA1199" s="1"/>
  <c r="AC1199" s="1"/>
  <c r="R1199"/>
  <c r="Z1199" s="1"/>
  <c r="AB1199" s="1"/>
  <c r="AD1199" s="1"/>
  <c r="AA1198"/>
  <c r="AC1198" s="1"/>
  <c r="Z1198"/>
  <c r="AB1198" s="1"/>
  <c r="AD1198" s="1"/>
  <c r="Y1198"/>
  <c r="Z1197"/>
  <c r="AB1197" s="1"/>
  <c r="AD1197" s="1"/>
  <c r="Y1197"/>
  <c r="AA1197" s="1"/>
  <c r="AC1197" s="1"/>
  <c r="K1197"/>
  <c r="Z1196"/>
  <c r="AB1196" s="1"/>
  <c r="AD1196" s="1"/>
  <c r="Y1196"/>
  <c r="AA1196" s="1"/>
  <c r="K1196"/>
  <c r="Z1195"/>
  <c r="AB1195" s="1"/>
  <c r="AD1195" s="1"/>
  <c r="Y1195"/>
  <c r="AA1195" s="1"/>
  <c r="AC1195" s="1"/>
  <c r="Z1194"/>
  <c r="AB1194" s="1"/>
  <c r="AD1194" s="1"/>
  <c r="Y1194"/>
  <c r="AA1194" s="1"/>
  <c r="AC1194" s="1"/>
  <c r="Z1193"/>
  <c r="Y1193"/>
  <c r="AA1193" s="1"/>
  <c r="AC1193" s="1"/>
  <c r="N1193"/>
  <c r="P1192"/>
  <c r="Z1191"/>
  <c r="Y1191"/>
  <c r="AA1191" s="1"/>
  <c r="AC1191" s="1"/>
  <c r="N1191"/>
  <c r="Z1190"/>
  <c r="Y1190"/>
  <c r="AA1190" s="1"/>
  <c r="AC1190" s="1"/>
  <c r="N1190"/>
  <c r="Z1189"/>
  <c r="AB1189" s="1"/>
  <c r="Y1189"/>
  <c r="AA1189" s="1"/>
  <c r="AC1189" s="1"/>
  <c r="L1189"/>
  <c r="Z1188"/>
  <c r="Y1188"/>
  <c r="AA1188" s="1"/>
  <c r="AC1188" s="1"/>
  <c r="N1188"/>
  <c r="L1188"/>
  <c r="Z1187"/>
  <c r="Y1187"/>
  <c r="AA1187" s="1"/>
  <c r="AC1187" s="1"/>
  <c r="N1187"/>
  <c r="L1187"/>
  <c r="Z1186"/>
  <c r="Y1186"/>
  <c r="AA1186" s="1"/>
  <c r="AC1186" s="1"/>
  <c r="N1186"/>
  <c r="L1186"/>
  <c r="Z1185"/>
  <c r="Y1185"/>
  <c r="AA1185" s="1"/>
  <c r="AC1185" s="1"/>
  <c r="N1185"/>
  <c r="L1185"/>
  <c r="Z1184"/>
  <c r="Y1184"/>
  <c r="AA1184" s="1"/>
  <c r="AC1184" s="1"/>
  <c r="N1184"/>
  <c r="Z1165"/>
  <c r="Y1165"/>
  <c r="P1165"/>
  <c r="Z1156"/>
  <c r="AB1156" s="1"/>
  <c r="AD1156" s="1"/>
  <c r="Y1156"/>
  <c r="AA1156" s="1"/>
  <c r="AC1156" s="1"/>
  <c r="S1156"/>
  <c r="Z1155"/>
  <c r="AB1155" s="1"/>
  <c r="AD1155" s="1"/>
  <c r="Y1155"/>
  <c r="AA1155" s="1"/>
  <c r="AC1155" s="1"/>
  <c r="S1155"/>
  <c r="U1155" s="1"/>
  <c r="Z1154"/>
  <c r="AB1154" s="1"/>
  <c r="AD1154" s="1"/>
  <c r="Y1154"/>
  <c r="AA1154" s="1"/>
  <c r="AC1154" s="1"/>
  <c r="S1154"/>
  <c r="U1154" s="1"/>
  <c r="Z1153"/>
  <c r="AB1153" s="1"/>
  <c r="AD1153" s="1"/>
  <c r="Y1153"/>
  <c r="AA1153" s="1"/>
  <c r="AC1153" s="1"/>
  <c r="S1153"/>
  <c r="U1153" s="1"/>
  <c r="Z1152"/>
  <c r="Y1152"/>
  <c r="AA1152" s="1"/>
  <c r="AC1152" s="1"/>
  <c r="S1152"/>
  <c r="Y1151"/>
  <c r="X1151"/>
  <c r="V1151"/>
  <c r="U1151"/>
  <c r="W1151" s="1"/>
  <c r="T1151"/>
  <c r="R1151"/>
  <c r="P1151"/>
  <c r="O1151"/>
  <c r="AG1151" s="1"/>
  <c r="N1151"/>
  <c r="M1151"/>
  <c r="L1151"/>
  <c r="Z1150"/>
  <c r="AB1150" s="1"/>
  <c r="AD1150" s="1"/>
  <c r="Y1150"/>
  <c r="AA1150" s="1"/>
  <c r="AC1150" s="1"/>
  <c r="S1150"/>
  <c r="Z1149"/>
  <c r="AB1149" s="1"/>
  <c r="AD1149" s="1"/>
  <c r="Y1149"/>
  <c r="AA1149" s="1"/>
  <c r="AC1149" s="1"/>
  <c r="S1149"/>
  <c r="Z1148"/>
  <c r="AB1148" s="1"/>
  <c r="AD1148" s="1"/>
  <c r="Y1148"/>
  <c r="AA1148" s="1"/>
  <c r="AC1148" s="1"/>
  <c r="S1148"/>
  <c r="U1148" s="1"/>
  <c r="W1148" s="1"/>
  <c r="Z1147"/>
  <c r="AB1147" s="1"/>
  <c r="AD1147" s="1"/>
  <c r="Y1147"/>
  <c r="AA1147" s="1"/>
  <c r="AC1147" s="1"/>
  <c r="S1147"/>
  <c r="U1147" s="1"/>
  <c r="W1147" s="1"/>
  <c r="Z1146"/>
  <c r="AB1146" s="1"/>
  <c r="AD1146" s="1"/>
  <c r="Y1146"/>
  <c r="AA1146" s="1"/>
  <c r="AC1146" s="1"/>
  <c r="S1146"/>
  <c r="U1146" s="1"/>
  <c r="Z1145"/>
  <c r="AB1145" s="1"/>
  <c r="AD1145" s="1"/>
  <c r="Y1145"/>
  <c r="AA1145" s="1"/>
  <c r="AC1145" s="1"/>
  <c r="S1145"/>
  <c r="Z1144"/>
  <c r="AB1144" s="1"/>
  <c r="AD1144" s="1"/>
  <c r="Y1144"/>
  <c r="AA1144" s="1"/>
  <c r="AC1144" s="1"/>
  <c r="S1144"/>
  <c r="U1144" s="1"/>
  <c r="Z1143"/>
  <c r="AB1143" s="1"/>
  <c r="AD1143" s="1"/>
  <c r="Y1143"/>
  <c r="AA1143" s="1"/>
  <c r="AC1143" s="1"/>
  <c r="S1143"/>
  <c r="U1143" s="1"/>
  <c r="W1143" s="1"/>
  <c r="Z1142"/>
  <c r="AB1142" s="1"/>
  <c r="AD1142" s="1"/>
  <c r="Y1142"/>
  <c r="AA1142" s="1"/>
  <c r="AC1142" s="1"/>
  <c r="S1142"/>
  <c r="U1142" s="1"/>
  <c r="Z1141"/>
  <c r="Y1141"/>
  <c r="AA1141" s="1"/>
  <c r="AC1141" s="1"/>
  <c r="S1141"/>
  <c r="Z1140"/>
  <c r="AB1140" s="1"/>
  <c r="AD1140" s="1"/>
  <c r="Y1140"/>
  <c r="AA1140" s="1"/>
  <c r="AC1140" s="1"/>
  <c r="U1140"/>
  <c r="S1140"/>
  <c r="Y1139"/>
  <c r="X1139"/>
  <c r="V1139"/>
  <c r="T1139"/>
  <c r="S1139"/>
  <c r="R1139"/>
  <c r="P1139"/>
  <c r="O1139"/>
  <c r="AG1139" s="1"/>
  <c r="N1139"/>
  <c r="M1139"/>
  <c r="L1139"/>
  <c r="Z1138"/>
  <c r="AB1138" s="1"/>
  <c r="AD1138" s="1"/>
  <c r="Y1138"/>
  <c r="AA1138" s="1"/>
  <c r="AC1138" s="1"/>
  <c r="S1138"/>
  <c r="U1138" s="1"/>
  <c r="W1138" s="1"/>
  <c r="Z1137"/>
  <c r="AB1137" s="1"/>
  <c r="AD1137" s="1"/>
  <c r="Y1137"/>
  <c r="AA1137" s="1"/>
  <c r="AC1137" s="1"/>
  <c r="S1137"/>
  <c r="U1137" s="1"/>
  <c r="W1137" s="1"/>
  <c r="Z1136"/>
  <c r="AB1136" s="1"/>
  <c r="AD1136" s="1"/>
  <c r="Y1136"/>
  <c r="AA1136" s="1"/>
  <c r="AC1136" s="1"/>
  <c r="S1136"/>
  <c r="U1136" s="1"/>
  <c r="Z1135"/>
  <c r="Y1135"/>
  <c r="AA1135" s="1"/>
  <c r="AC1135" s="1"/>
  <c r="S1135"/>
  <c r="AG1134"/>
  <c r="Y1134"/>
  <c r="AA1134" s="1"/>
  <c r="AC1134" s="1"/>
  <c r="S1134"/>
  <c r="P1134"/>
  <c r="N1134"/>
  <c r="L1134"/>
  <c r="Z1133"/>
  <c r="AB1133" s="1"/>
  <c r="Y1133"/>
  <c r="AA1133" s="1"/>
  <c r="AC1133" s="1"/>
  <c r="S1133"/>
  <c r="U1133" s="1"/>
  <c r="Z1132"/>
  <c r="AB1132" s="1"/>
  <c r="AD1132" s="1"/>
  <c r="Y1132"/>
  <c r="AA1132" s="1"/>
  <c r="AC1132" s="1"/>
  <c r="S1132"/>
  <c r="U1132" s="1"/>
  <c r="W1132" s="1"/>
  <c r="Z1131"/>
  <c r="AB1131" s="1"/>
  <c r="AD1131" s="1"/>
  <c r="Y1131"/>
  <c r="AA1131" s="1"/>
  <c r="AC1131" s="1"/>
  <c r="S1131"/>
  <c r="U1131" s="1"/>
  <c r="W1131" s="1"/>
  <c r="Z1130"/>
  <c r="AB1130" s="1"/>
  <c r="AD1130" s="1"/>
  <c r="Y1130"/>
  <c r="AA1130" s="1"/>
  <c r="AC1130" s="1"/>
  <c r="S1130"/>
  <c r="Z1129"/>
  <c r="AB1129" s="1"/>
  <c r="AD1129" s="1"/>
  <c r="Y1129"/>
  <c r="AA1129" s="1"/>
  <c r="AC1129" s="1"/>
  <c r="S1129"/>
  <c r="U1129" s="1"/>
  <c r="Z1128"/>
  <c r="AB1128" s="1"/>
  <c r="AD1128" s="1"/>
  <c r="Y1128"/>
  <c r="AA1128" s="1"/>
  <c r="AC1128" s="1"/>
  <c r="S1128"/>
  <c r="U1128" s="1"/>
  <c r="Z1127"/>
  <c r="AB1127" s="1"/>
  <c r="AD1127" s="1"/>
  <c r="Y1127"/>
  <c r="AA1127" s="1"/>
  <c r="AC1127" s="1"/>
  <c r="S1127"/>
  <c r="AG1126"/>
  <c r="AA1126"/>
  <c r="AC1126" s="1"/>
  <c r="AG1125"/>
  <c r="AA1125"/>
  <c r="AC1125" s="1"/>
  <c r="AG1124"/>
  <c r="Y1124"/>
  <c r="AA1124" s="1"/>
  <c r="AC1124" s="1"/>
  <c r="X1124"/>
  <c r="V1124"/>
  <c r="T1124"/>
  <c r="S1124"/>
  <c r="U1124" s="1"/>
  <c r="R1124"/>
  <c r="Z1124" s="1"/>
  <c r="P1124"/>
  <c r="N1124"/>
  <c r="L1124"/>
  <c r="Z1123"/>
  <c r="AB1123" s="1"/>
  <c r="AD1123" s="1"/>
  <c r="Y1123"/>
  <c r="AA1123" s="1"/>
  <c r="AC1123" s="1"/>
  <c r="S1123"/>
  <c r="Z1122"/>
  <c r="AB1122" s="1"/>
  <c r="AD1122" s="1"/>
  <c r="Y1122"/>
  <c r="AA1122" s="1"/>
  <c r="AC1122" s="1"/>
  <c r="S1122"/>
  <c r="Z1121"/>
  <c r="AB1121" s="1"/>
  <c r="AD1121" s="1"/>
  <c r="Y1121"/>
  <c r="AA1121" s="1"/>
  <c r="AC1121" s="1"/>
  <c r="S1121"/>
  <c r="U1121" s="1"/>
  <c r="AG1120"/>
  <c r="Y1120"/>
  <c r="AA1120" s="1"/>
  <c r="AC1120" s="1"/>
  <c r="S1120"/>
  <c r="U1120" s="1"/>
  <c r="AG1119"/>
  <c r="Y1119"/>
  <c r="AA1119" s="1"/>
  <c r="AC1119" s="1"/>
  <c r="S1119"/>
  <c r="AG1118"/>
  <c r="Z1118"/>
  <c r="Y1118"/>
  <c r="AA1118" s="1"/>
  <c r="AC1118" s="1"/>
  <c r="S1118"/>
  <c r="U1118" s="1"/>
  <c r="P1118"/>
  <c r="N1118"/>
  <c r="AB1118" s="1"/>
  <c r="L1118"/>
  <c r="Z1117"/>
  <c r="AB1117" s="1"/>
  <c r="AD1117" s="1"/>
  <c r="Y1117"/>
  <c r="AA1117" s="1"/>
  <c r="AC1117" s="1"/>
  <c r="S1117"/>
  <c r="U1117" s="1"/>
  <c r="AG1116"/>
  <c r="Z1116"/>
  <c r="AB1116" s="1"/>
  <c r="AD1116" s="1"/>
  <c r="Y1116"/>
  <c r="AA1116" s="1"/>
  <c r="AC1116" s="1"/>
  <c r="S1116"/>
  <c r="AG1115"/>
  <c r="Y1115"/>
  <c r="AA1115" s="1"/>
  <c r="AC1115" s="1"/>
  <c r="S1115"/>
  <c r="Y1114"/>
  <c r="AA1114" s="1"/>
  <c r="AC1114" s="1"/>
  <c r="X1114"/>
  <c r="V1114"/>
  <c r="T1114"/>
  <c r="S1114"/>
  <c r="R1114"/>
  <c r="Z1114" s="1"/>
  <c r="P1114"/>
  <c r="N1114"/>
  <c r="L1114"/>
  <c r="Z1113"/>
  <c r="AB1113" s="1"/>
  <c r="AD1113" s="1"/>
  <c r="Y1113"/>
  <c r="AA1113" s="1"/>
  <c r="AC1113" s="1"/>
  <c r="S1113"/>
  <c r="U1113" s="1"/>
  <c r="Z1112"/>
  <c r="AB1112" s="1"/>
  <c r="AD1112" s="1"/>
  <c r="Y1112"/>
  <c r="AA1112" s="1"/>
  <c r="AC1112" s="1"/>
  <c r="S1112"/>
  <c r="U1112" s="1"/>
  <c r="Z1111"/>
  <c r="AB1111" s="1"/>
  <c r="AD1111" s="1"/>
  <c r="Y1111"/>
  <c r="AA1111" s="1"/>
  <c r="AC1111" s="1"/>
  <c r="S1111"/>
  <c r="Z1110"/>
  <c r="AB1110" s="1"/>
  <c r="AD1110" s="1"/>
  <c r="Y1110"/>
  <c r="AA1110" s="1"/>
  <c r="AC1110" s="1"/>
  <c r="S1110"/>
  <c r="U1110" s="1"/>
  <c r="Z1109"/>
  <c r="AB1109" s="1"/>
  <c r="AD1109" s="1"/>
  <c r="Y1109"/>
  <c r="AA1109" s="1"/>
  <c r="AC1109" s="1"/>
  <c r="S1109"/>
  <c r="U1109" s="1"/>
  <c r="W1109" s="1"/>
  <c r="Z1108"/>
  <c r="AB1108" s="1"/>
  <c r="AD1108" s="1"/>
  <c r="Y1108"/>
  <c r="AA1108" s="1"/>
  <c r="AC1108" s="1"/>
  <c r="S1108"/>
  <c r="Z1107"/>
  <c r="AB1107" s="1"/>
  <c r="AD1107" s="1"/>
  <c r="Y1107"/>
  <c r="AA1107" s="1"/>
  <c r="AC1107" s="1"/>
  <c r="S1107"/>
  <c r="BE1106"/>
  <c r="BG1106" s="1"/>
  <c r="BI1106" s="1"/>
  <c r="BD1106"/>
  <c r="BF1106" s="1"/>
  <c r="BH1106" s="1"/>
  <c r="AX1106"/>
  <c r="BE1105"/>
  <c r="BG1105" s="1"/>
  <c r="BI1105" s="1"/>
  <c r="BD1105"/>
  <c r="BF1105" s="1"/>
  <c r="BH1105" s="1"/>
  <c r="AX1105"/>
  <c r="BE1104"/>
  <c r="BG1104" s="1"/>
  <c r="BI1104" s="1"/>
  <c r="BD1104"/>
  <c r="BF1104" s="1"/>
  <c r="BH1104" s="1"/>
  <c r="AX1104"/>
  <c r="AZ1104" s="1"/>
  <c r="BB1104" s="1"/>
  <c r="BE1103"/>
  <c r="BG1103" s="1"/>
  <c r="BI1103" s="1"/>
  <c r="BD1103"/>
  <c r="BF1103" s="1"/>
  <c r="BH1103" s="1"/>
  <c r="AX1103"/>
  <c r="AZ1103" s="1"/>
  <c r="BE1102"/>
  <c r="BG1102" s="1"/>
  <c r="BI1102" s="1"/>
  <c r="BD1102"/>
  <c r="BF1102" s="1"/>
  <c r="BH1102" s="1"/>
  <c r="AX1102"/>
  <c r="AZ1102" s="1"/>
  <c r="BE1101"/>
  <c r="BG1101" s="1"/>
  <c r="BI1101" s="1"/>
  <c r="BD1101"/>
  <c r="BF1101" s="1"/>
  <c r="BH1101" s="1"/>
  <c r="AX1101"/>
  <c r="AB1101"/>
  <c r="AD1101" s="1"/>
  <c r="Q1101"/>
  <c r="Y1101" s="1"/>
  <c r="AA1101" s="1"/>
  <c r="AC1101" s="1"/>
  <c r="BL1100"/>
  <c r="BD1100"/>
  <c r="BF1100" s="1"/>
  <c r="BH1100" s="1"/>
  <c r="AB1100"/>
  <c r="P1100"/>
  <c r="BL1099"/>
  <c r="BD1099"/>
  <c r="BF1099" s="1"/>
  <c r="BH1099" s="1"/>
  <c r="AB1099"/>
  <c r="Q1099"/>
  <c r="Y1099" s="1"/>
  <c r="AA1099" s="1"/>
  <c r="AC1099" s="1"/>
  <c r="L1099"/>
  <c r="BL1098"/>
  <c r="BD1098"/>
  <c r="BF1098" s="1"/>
  <c r="BH1098" s="1"/>
  <c r="AB1098"/>
  <c r="AD1098" s="1"/>
  <c r="AA1098"/>
  <c r="AC1098" s="1"/>
  <c r="BL1097"/>
  <c r="BD1097"/>
  <c r="BF1097" s="1"/>
  <c r="BH1097" s="1"/>
  <c r="AB1097"/>
  <c r="AD1097" s="1"/>
  <c r="AA1097"/>
  <c r="AC1097" s="1"/>
  <c r="Q1097"/>
  <c r="BL1096"/>
  <c r="BD1096"/>
  <c r="BF1096" s="1"/>
  <c r="BH1096" s="1"/>
  <c r="AA1096"/>
  <c r="AC1096" s="1"/>
  <c r="Q1096"/>
  <c r="N1096"/>
  <c r="AB1096" s="1"/>
  <c r="BL1095"/>
  <c r="BD1095"/>
  <c r="BF1095" s="1"/>
  <c r="BH1095" s="1"/>
  <c r="P1095"/>
  <c r="BL1094"/>
  <c r="BD1094"/>
  <c r="BF1094" s="1"/>
  <c r="BH1094" s="1"/>
  <c r="AA1094"/>
  <c r="AC1094" s="1"/>
  <c r="N1094"/>
  <c r="AB1094" s="1"/>
  <c r="AD1094" s="1"/>
  <c r="BL1093"/>
  <c r="BD1093"/>
  <c r="BF1093" s="1"/>
  <c r="BH1093" s="1"/>
  <c r="AB1093"/>
  <c r="AD1093" s="1"/>
  <c r="AA1093"/>
  <c r="AC1093" s="1"/>
  <c r="BL1092"/>
  <c r="BD1092"/>
  <c r="BF1092" s="1"/>
  <c r="BH1092" s="1"/>
  <c r="AB1092"/>
  <c r="AD1092" s="1"/>
  <c r="Q1092"/>
  <c r="Y1092" s="1"/>
  <c r="AA1092" s="1"/>
  <c r="AC1092" s="1"/>
  <c r="BL1091"/>
  <c r="BD1091"/>
  <c r="BF1091" s="1"/>
  <c r="BH1091" s="1"/>
  <c r="AB1091"/>
  <c r="AD1091" s="1"/>
  <c r="Q1091"/>
  <c r="Y1091" s="1"/>
  <c r="AA1091" s="1"/>
  <c r="AC1091" s="1"/>
  <c r="BL1090"/>
  <c r="BD1090"/>
  <c r="BF1090" s="1"/>
  <c r="BH1090" s="1"/>
  <c r="AB1090"/>
  <c r="Q1090"/>
  <c r="Y1090" s="1"/>
  <c r="AA1090" s="1"/>
  <c r="AC1090" s="1"/>
  <c r="BD1089"/>
  <c r="BF1089" s="1"/>
  <c r="BH1089" s="1"/>
  <c r="AW1089"/>
  <c r="BE1089" s="1"/>
  <c r="AS1089"/>
  <c r="AQ1089"/>
  <c r="P1089"/>
  <c r="BE1088"/>
  <c r="BG1088" s="1"/>
  <c r="BI1088" s="1"/>
  <c r="BD1088"/>
  <c r="BF1088" s="1"/>
  <c r="BH1088" s="1"/>
  <c r="AX1088"/>
  <c r="AZ1088" s="1"/>
  <c r="AD1088"/>
  <c r="Q1088"/>
  <c r="Y1088" s="1"/>
  <c r="AA1088" s="1"/>
  <c r="AC1088" s="1"/>
  <c r="BE1087"/>
  <c r="BG1087" s="1"/>
  <c r="BI1087" s="1"/>
  <c r="BD1087"/>
  <c r="BF1087" s="1"/>
  <c r="BH1087" s="1"/>
  <c r="AX1087"/>
  <c r="AZ1087" s="1"/>
  <c r="AD1087"/>
  <c r="Q1087"/>
  <c r="Y1087" s="1"/>
  <c r="AA1087" s="1"/>
  <c r="AC1087" s="1"/>
  <c r="BE1086"/>
  <c r="BG1086" s="1"/>
  <c r="BI1086" s="1"/>
  <c r="BD1086"/>
  <c r="BF1086" s="1"/>
  <c r="BH1086" s="1"/>
  <c r="AX1086"/>
  <c r="AB1086"/>
  <c r="AD1086" s="1"/>
  <c r="Q1086"/>
  <c r="Y1086" s="1"/>
  <c r="AA1086" s="1"/>
  <c r="AC1086" s="1"/>
  <c r="BL1085"/>
  <c r="BE1085"/>
  <c r="BG1085" s="1"/>
  <c r="BI1085" s="1"/>
  <c r="AX1085"/>
  <c r="AZ1085" s="1"/>
  <c r="AB1085"/>
  <c r="Q1085"/>
  <c r="Y1085" s="1"/>
  <c r="AA1085" s="1"/>
  <c r="AC1085" s="1"/>
  <c r="BL1084"/>
  <c r="BD1084"/>
  <c r="BF1084" s="1"/>
  <c r="BH1084" s="1"/>
  <c r="Q1084"/>
  <c r="N1084"/>
  <c r="AB1084" s="1"/>
  <c r="AD1084" s="1"/>
  <c r="M1084"/>
  <c r="AA1084" s="1"/>
  <c r="AC1084" s="1"/>
  <c r="BD1083"/>
  <c r="BF1083" s="1"/>
  <c r="BH1083" s="1"/>
  <c r="AW1083"/>
  <c r="BE1083" s="1"/>
  <c r="AU1083"/>
  <c r="AS1083"/>
  <c r="AQ1083"/>
  <c r="P1083"/>
  <c r="AB1081"/>
  <c r="AD1081" s="1"/>
  <c r="Q1081"/>
  <c r="Y1081" s="1"/>
  <c r="AA1081" s="1"/>
  <c r="AC1081" s="1"/>
  <c r="AB1080"/>
  <c r="Q1080"/>
  <c r="Y1080" s="1"/>
  <c r="AA1080" s="1"/>
  <c r="AC1080" s="1"/>
  <c r="P1079"/>
  <c r="AD1077"/>
  <c r="AC1077"/>
  <c r="AB1076"/>
  <c r="AD1076" s="1"/>
  <c r="Q1076"/>
  <c r="Y1076" s="1"/>
  <c r="AA1076" s="1"/>
  <c r="AC1076" s="1"/>
  <c r="Q1075"/>
  <c r="Y1075" s="1"/>
  <c r="N1075"/>
  <c r="AB1075" s="1"/>
  <c r="AD1075" s="1"/>
  <c r="M1075"/>
  <c r="AA1074"/>
  <c r="AC1074" s="1"/>
  <c r="Q1074"/>
  <c r="N1074"/>
  <c r="AB1074" s="1"/>
  <c r="P1073"/>
  <c r="AD1072"/>
  <c r="Q1072"/>
  <c r="Y1072" s="1"/>
  <c r="AA1072" s="1"/>
  <c r="AC1072" s="1"/>
  <c r="Q1071"/>
  <c r="Y1071" s="1"/>
  <c r="N1071"/>
  <c r="AB1071" s="1"/>
  <c r="AD1071" s="1"/>
  <c r="M1071"/>
  <c r="BE1070"/>
  <c r="BG1070" s="1"/>
  <c r="BI1070" s="1"/>
  <c r="BD1070"/>
  <c r="BF1070" s="1"/>
  <c r="BH1070" s="1"/>
  <c r="AD1070"/>
  <c r="Q1070"/>
  <c r="Y1070" s="1"/>
  <c r="BE1069"/>
  <c r="BD1069"/>
  <c r="AU1069"/>
  <c r="AS1069"/>
  <c r="AR1069"/>
  <c r="AQ1069"/>
  <c r="AQ1067" s="1"/>
  <c r="AP1069"/>
  <c r="Q1069"/>
  <c r="Y1069" s="1"/>
  <c r="N1069"/>
  <c r="AB1069" s="1"/>
  <c r="AD1069" s="1"/>
  <c r="M1069"/>
  <c r="BE1068"/>
  <c r="BG1068" s="1"/>
  <c r="BD1068"/>
  <c r="BF1068" s="1"/>
  <c r="BH1068" s="1"/>
  <c r="Q1068"/>
  <c r="Y1068" s="1"/>
  <c r="N1068"/>
  <c r="AB1068" s="1"/>
  <c r="AD1068" s="1"/>
  <c r="M1068"/>
  <c r="AY1067"/>
  <c r="AR1067" s="1"/>
  <c r="AW1067"/>
  <c r="AU1067"/>
  <c r="AS1067"/>
  <c r="Q1067"/>
  <c r="N1067"/>
  <c r="AB1067" s="1"/>
  <c r="AD1067" s="1"/>
  <c r="M1067"/>
  <c r="AA1067" s="1"/>
  <c r="AC1067" s="1"/>
  <c r="P1066"/>
  <c r="BE1065"/>
  <c r="BD1065"/>
  <c r="BF1065" s="1"/>
  <c r="AS1065"/>
  <c r="AP1065"/>
  <c r="P1065"/>
  <c r="BE1064"/>
  <c r="BD1064"/>
  <c r="BF1064" s="1"/>
  <c r="BH1064" s="1"/>
  <c r="AU1064"/>
  <c r="AS1064"/>
  <c r="AQ1064"/>
  <c r="Z1064"/>
  <c r="Y1064"/>
  <c r="R1064"/>
  <c r="Q1064"/>
  <c r="P1064"/>
  <c r="N1064"/>
  <c r="M1064"/>
  <c r="BE1063"/>
  <c r="AU1063"/>
  <c r="AV1063" s="1"/>
  <c r="BD1063" s="1"/>
  <c r="BF1063" s="1"/>
  <c r="BH1063" s="1"/>
  <c r="AS1063"/>
  <c r="AQ1063"/>
  <c r="Z1063"/>
  <c r="Y1063"/>
  <c r="Y1062" s="1"/>
  <c r="R1063"/>
  <c r="R1062" s="1"/>
  <c r="Q1063"/>
  <c r="P1063"/>
  <c r="N1063"/>
  <c r="N1062" s="1"/>
  <c r="M1063"/>
  <c r="BE1062"/>
  <c r="BG1062" s="1"/>
  <c r="BD1062"/>
  <c r="BF1062" s="1"/>
  <c r="BH1062" s="1"/>
  <c r="AU1062"/>
  <c r="AQ1062"/>
  <c r="O1062"/>
  <c r="L1062"/>
  <c r="K1062"/>
  <c r="BE1061"/>
  <c r="BG1061" s="1"/>
  <c r="BD1061"/>
  <c r="BF1061" s="1"/>
  <c r="BH1061" s="1"/>
  <c r="AU1061"/>
  <c r="AQ1061"/>
  <c r="Z1061"/>
  <c r="Y1061"/>
  <c r="R1061"/>
  <c r="Q1061"/>
  <c r="P1061"/>
  <c r="N1061"/>
  <c r="M1061"/>
  <c r="AW1060"/>
  <c r="AR1060"/>
  <c r="Z1060"/>
  <c r="Y1060"/>
  <c r="R1060"/>
  <c r="Q1060"/>
  <c r="P1060"/>
  <c r="N1060"/>
  <c r="M1060"/>
  <c r="Z1059"/>
  <c r="Y1059"/>
  <c r="R1059"/>
  <c r="Q1059"/>
  <c r="P1059"/>
  <c r="N1059"/>
  <c r="M1059"/>
  <c r="Z1058"/>
  <c r="Y1058"/>
  <c r="R1058"/>
  <c r="Q1058"/>
  <c r="P1058"/>
  <c r="N1058"/>
  <c r="M1058"/>
  <c r="Z1057"/>
  <c r="Y1057"/>
  <c r="R1057"/>
  <c r="Q1057"/>
  <c r="P1057"/>
  <c r="N1057"/>
  <c r="M1057"/>
  <c r="Z1056"/>
  <c r="Y1056"/>
  <c r="R1056"/>
  <c r="Q1056"/>
  <c r="P1056"/>
  <c r="N1056"/>
  <c r="M1056"/>
  <c r="Z1055"/>
  <c r="Y1055"/>
  <c r="R1055"/>
  <c r="Q1055"/>
  <c r="P1055"/>
  <c r="N1055"/>
  <c r="M1055"/>
  <c r="BI1054"/>
  <c r="BE1054"/>
  <c r="BE1053" s="1"/>
  <c r="BD1054"/>
  <c r="BF1054" s="1"/>
  <c r="BH1054" s="1"/>
  <c r="AP1054"/>
  <c r="Z1054"/>
  <c r="AB1054" s="1"/>
  <c r="AD1054" s="1"/>
  <c r="Y1054"/>
  <c r="AA1054" s="1"/>
  <c r="AC1054" s="1"/>
  <c r="R1054"/>
  <c r="Q1054"/>
  <c r="P1054"/>
  <c r="I1054"/>
  <c r="BI1053"/>
  <c r="BD1053"/>
  <c r="BF1053" s="1"/>
  <c r="AP1053"/>
  <c r="Z1053"/>
  <c r="AB1053" s="1"/>
  <c r="AD1053" s="1"/>
  <c r="Y1053"/>
  <c r="AA1053" s="1"/>
  <c r="AC1053" s="1"/>
  <c r="R1053"/>
  <c r="Q1053"/>
  <c r="P1053"/>
  <c r="BI1052"/>
  <c r="BG1052"/>
  <c r="AP1052"/>
  <c r="BH1052" s="1"/>
  <c r="Z1052"/>
  <c r="AB1052" s="1"/>
  <c r="AD1052" s="1"/>
  <c r="Y1052"/>
  <c r="AA1052" s="1"/>
  <c r="AC1052" s="1"/>
  <c r="R1052"/>
  <c r="Q1052"/>
  <c r="P1052"/>
  <c r="BF1051"/>
  <c r="BH1051" s="1"/>
  <c r="AU1051"/>
  <c r="AS1051"/>
  <c r="BG1051" s="1"/>
  <c r="AQ1051"/>
  <c r="Z1051"/>
  <c r="AB1051" s="1"/>
  <c r="AD1051" s="1"/>
  <c r="Y1051"/>
  <c r="R1051"/>
  <c r="Q1051"/>
  <c r="P1051"/>
  <c r="Z1050"/>
  <c r="Y1050"/>
  <c r="AA1050" s="1"/>
  <c r="AC1050" s="1"/>
  <c r="R1050"/>
  <c r="Q1050"/>
  <c r="P1050"/>
  <c r="O1049"/>
  <c r="L1049"/>
  <c r="K1049"/>
  <c r="AC1042"/>
  <c r="AC1041"/>
  <c r="Z1038"/>
  <c r="AB1038" s="1"/>
  <c r="AD1038" s="1"/>
  <c r="Y1038"/>
  <c r="AC1038" s="1"/>
  <c r="Q1038"/>
  <c r="Z1037"/>
  <c r="AB1037" s="1"/>
  <c r="AD1037" s="1"/>
  <c r="Q1037"/>
  <c r="Y1037" s="1"/>
  <c r="Z1036"/>
  <c r="AB1036" s="1"/>
  <c r="Q1036"/>
  <c r="Y1036" s="1"/>
  <c r="AA1036" s="1"/>
  <c r="O1036"/>
  <c r="L1036"/>
  <c r="Z1035"/>
  <c r="AB1035" s="1"/>
  <c r="AD1035" s="1"/>
  <c r="Q1035"/>
  <c r="Y1035" s="1"/>
  <c r="Z1034"/>
  <c r="AB1034" s="1"/>
  <c r="AD1034" s="1"/>
  <c r="Q1034"/>
  <c r="Y1034" s="1"/>
  <c r="Z1033"/>
  <c r="AB1033" s="1"/>
  <c r="AD1033" s="1"/>
  <c r="Q1033"/>
  <c r="Y1033" s="1"/>
  <c r="Z1032"/>
  <c r="AB1032" s="1"/>
  <c r="AD1032" s="1"/>
  <c r="Q1032"/>
  <c r="Y1032" s="1"/>
  <c r="Z1031"/>
  <c r="AB1031" s="1"/>
  <c r="AD1031" s="1"/>
  <c r="Q1031"/>
  <c r="Y1031" s="1"/>
  <c r="Z1030"/>
  <c r="AB1030" s="1"/>
  <c r="AD1030" s="1"/>
  <c r="Q1030"/>
  <c r="Y1030" s="1"/>
  <c r="AA1030" s="1"/>
  <c r="R1029"/>
  <c r="P1029"/>
  <c r="L1029"/>
  <c r="Z1028"/>
  <c r="AB1028" s="1"/>
  <c r="AD1028" s="1"/>
  <c r="Q1028"/>
  <c r="Y1028" s="1"/>
  <c r="Z1027"/>
  <c r="AB1027" s="1"/>
  <c r="AD1027" s="1"/>
  <c r="Q1027"/>
  <c r="Y1027" s="1"/>
  <c r="Z1026"/>
  <c r="AB1026" s="1"/>
  <c r="AD1026" s="1"/>
  <c r="Q1026"/>
  <c r="Y1026" s="1"/>
  <c r="Z1025"/>
  <c r="AB1025" s="1"/>
  <c r="AD1025" s="1"/>
  <c r="Q1025"/>
  <c r="Y1025" s="1"/>
  <c r="AD1024"/>
  <c r="Z1024"/>
  <c r="AB1024" s="1"/>
  <c r="Q1024"/>
  <c r="Y1024" s="1"/>
  <c r="Z1023"/>
  <c r="AB1023" s="1"/>
  <c r="AD1023" s="1"/>
  <c r="Y1023"/>
  <c r="AA1023" s="1"/>
  <c r="Q1023"/>
  <c r="Z1022"/>
  <c r="AB1022" s="1"/>
  <c r="AD1022" s="1"/>
  <c r="Q1022"/>
  <c r="Y1022" s="1"/>
  <c r="Z1021"/>
  <c r="AB1021" s="1"/>
  <c r="AD1021" s="1"/>
  <c r="Y1021"/>
  <c r="Q1021"/>
  <c r="Z1020"/>
  <c r="AB1020" s="1"/>
  <c r="AD1020" s="1"/>
  <c r="Q1020"/>
  <c r="Y1020" s="1"/>
  <c r="Z1019"/>
  <c r="AB1019" s="1"/>
  <c r="AD1019" s="1"/>
  <c r="Q1019"/>
  <c r="Y1019" s="1"/>
  <c r="Z1018"/>
  <c r="AB1018" s="1"/>
  <c r="AD1018" s="1"/>
  <c r="Q1018"/>
  <c r="Y1018" s="1"/>
  <c r="Z1017"/>
  <c r="AB1017" s="1"/>
  <c r="AD1017" s="1"/>
  <c r="Q1017"/>
  <c r="Y1017" s="1"/>
  <c r="AC1017" s="1"/>
  <c r="Z1016"/>
  <c r="AB1016" s="1"/>
  <c r="AD1016" s="1"/>
  <c r="Q1016"/>
  <c r="Y1016" s="1"/>
  <c r="R1015"/>
  <c r="Z1015" s="1"/>
  <c r="P1015"/>
  <c r="N1015"/>
  <c r="Z1013"/>
  <c r="AB1013" s="1"/>
  <c r="AD1013" s="1"/>
  <c r="Y1013"/>
  <c r="AC1013" s="1"/>
  <c r="Q1013"/>
  <c r="Z1012"/>
  <c r="AB1012" s="1"/>
  <c r="AD1012" s="1"/>
  <c r="Q1012"/>
  <c r="Y1012" s="1"/>
  <c r="Z1011"/>
  <c r="R1011"/>
  <c r="P1011"/>
  <c r="N1011"/>
  <c r="Z1010"/>
  <c r="AB1010" s="1"/>
  <c r="AD1010" s="1"/>
  <c r="Q1010"/>
  <c r="Y1010" s="1"/>
  <c r="AC1010" s="1"/>
  <c r="Z1009"/>
  <c r="AB1009" s="1"/>
  <c r="AD1009" s="1"/>
  <c r="Q1009"/>
  <c r="Y1009" s="1"/>
  <c r="Z1008"/>
  <c r="AB1008" s="1"/>
  <c r="AD1008" s="1"/>
  <c r="Q1008"/>
  <c r="Y1008" s="1"/>
  <c r="Z1007"/>
  <c r="AB1007" s="1"/>
  <c r="AD1007" s="1"/>
  <c r="Q1007"/>
  <c r="Y1007" s="1"/>
  <c r="R1006"/>
  <c r="Z1006" s="1"/>
  <c r="P1006"/>
  <c r="N1006"/>
  <c r="L1006"/>
  <c r="Z1004"/>
  <c r="AB1004" s="1"/>
  <c r="AD1004" s="1"/>
  <c r="Q1004"/>
  <c r="Y1004" s="1"/>
  <c r="Z1003"/>
  <c r="P1003"/>
  <c r="Q1003" s="1"/>
  <c r="Y1003" s="1"/>
  <c r="AA1003" s="1"/>
  <c r="N1003"/>
  <c r="L1003"/>
  <c r="Z1001"/>
  <c r="AB1001" s="1"/>
  <c r="AD1001" s="1"/>
  <c r="Q1001"/>
  <c r="Y1001" s="1"/>
  <c r="Z1000"/>
  <c r="AB1000" s="1"/>
  <c r="AD1000" s="1"/>
  <c r="Q1000"/>
  <c r="Y1000" s="1"/>
  <c r="Z999"/>
  <c r="AB999" s="1"/>
  <c r="AD999" s="1"/>
  <c r="Q999"/>
  <c r="Y999" s="1"/>
  <c r="Z998"/>
  <c r="AB998" s="1"/>
  <c r="AD998" s="1"/>
  <c r="Q998"/>
  <c r="Y998" s="1"/>
  <c r="Z997"/>
  <c r="AB997" s="1"/>
  <c r="AD997" s="1"/>
  <c r="Q997"/>
  <c r="Y997" s="1"/>
  <c r="AC997" s="1"/>
  <c r="Z996"/>
  <c r="AB996" s="1"/>
  <c r="AD996" s="1"/>
  <c r="Q996"/>
  <c r="Y996" s="1"/>
  <c r="Z995"/>
  <c r="AB995" s="1"/>
  <c r="AD995" s="1"/>
  <c r="Q995"/>
  <c r="Y995" s="1"/>
  <c r="Z994"/>
  <c r="AB994" s="1"/>
  <c r="AD994" s="1"/>
  <c r="Q994"/>
  <c r="Y994" s="1"/>
  <c r="Z993"/>
  <c r="AB993" s="1"/>
  <c r="AD993" s="1"/>
  <c r="Q993"/>
  <c r="Y993" s="1"/>
  <c r="Z992"/>
  <c r="AB992" s="1"/>
  <c r="AD992" s="1"/>
  <c r="Q992"/>
  <c r="Y992" s="1"/>
  <c r="Z991"/>
  <c r="AB991" s="1"/>
  <c r="AD991" s="1"/>
  <c r="Q991"/>
  <c r="Y991" s="1"/>
  <c r="AA991" s="1"/>
  <c r="Z990"/>
  <c r="AB990" s="1"/>
  <c r="AD990" s="1"/>
  <c r="Q990"/>
  <c r="Y990" s="1"/>
  <c r="Z989"/>
  <c r="AB989" s="1"/>
  <c r="AD989" s="1"/>
  <c r="Q989"/>
  <c r="Y989" s="1"/>
  <c r="Z988"/>
  <c r="AB988" s="1"/>
  <c r="AD988" s="1"/>
  <c r="Q988"/>
  <c r="Y988" s="1"/>
  <c r="R987"/>
  <c r="Z987" s="1"/>
  <c r="P987"/>
  <c r="N987"/>
  <c r="L987"/>
  <c r="AA983"/>
  <c r="Z982"/>
  <c r="AB982" s="1"/>
  <c r="AD982" s="1"/>
  <c r="Y982"/>
  <c r="AA982" s="1"/>
  <c r="AC982" s="1"/>
  <c r="Z981"/>
  <c r="Y981"/>
  <c r="AA981" s="1"/>
  <c r="AC981" s="1"/>
  <c r="N981"/>
  <c r="L981"/>
  <c r="Z980"/>
  <c r="Y980"/>
  <c r="AA980" s="1"/>
  <c r="AC980" s="1"/>
  <c r="N980"/>
  <c r="AB980" s="1"/>
  <c r="AD980" s="1"/>
  <c r="Z979"/>
  <c r="Y979"/>
  <c r="AA979" s="1"/>
  <c r="AC979" s="1"/>
  <c r="N979"/>
  <c r="AA978"/>
  <c r="AC978" s="1"/>
  <c r="Z978"/>
  <c r="Y978"/>
  <c r="N978"/>
  <c r="AA977"/>
  <c r="AC977" s="1"/>
  <c r="Z977"/>
  <c r="Y977"/>
  <c r="N977"/>
  <c r="AC976"/>
  <c r="Y976"/>
  <c r="AA976" s="1"/>
  <c r="R976"/>
  <c r="Z976" s="1"/>
  <c r="P976"/>
  <c r="L976"/>
  <c r="Z975"/>
  <c r="Y975"/>
  <c r="AA975" s="1"/>
  <c r="AC975" s="1"/>
  <c r="N975"/>
  <c r="Z974"/>
  <c r="Y974"/>
  <c r="AA974" s="1"/>
  <c r="N974"/>
  <c r="K974"/>
  <c r="AA973"/>
  <c r="Z973"/>
  <c r="Y973"/>
  <c r="N973"/>
  <c r="K973"/>
  <c r="Z972"/>
  <c r="Y972"/>
  <c r="AA972" s="1"/>
  <c r="N972"/>
  <c r="K972"/>
  <c r="Z971"/>
  <c r="Y971"/>
  <c r="AA971" s="1"/>
  <c r="N971"/>
  <c r="K971"/>
  <c r="Z970"/>
  <c r="Y970"/>
  <c r="AA970" s="1"/>
  <c r="N970"/>
  <c r="K970"/>
  <c r="Z969"/>
  <c r="Y969"/>
  <c r="AA969" s="1"/>
  <c r="N969"/>
  <c r="K969"/>
  <c r="Z968"/>
  <c r="Y968"/>
  <c r="AA968" s="1"/>
  <c r="N968"/>
  <c r="K968"/>
  <c r="Z967"/>
  <c r="Y967"/>
  <c r="AA967" s="1"/>
  <c r="N967"/>
  <c r="K967"/>
  <c r="Z966"/>
  <c r="Y966"/>
  <c r="AA966" s="1"/>
  <c r="N966"/>
  <c r="K966"/>
  <c r="Z965"/>
  <c r="Y965"/>
  <c r="AA965" s="1"/>
  <c r="N965"/>
  <c r="K965"/>
  <c r="Y964"/>
  <c r="AA964" s="1"/>
  <c r="AC964" s="1"/>
  <c r="R964"/>
  <c r="Z964" s="1"/>
  <c r="P964"/>
  <c r="L964"/>
  <c r="AB959"/>
  <c r="AD959" s="1"/>
  <c r="AA959"/>
  <c r="AC959" s="1"/>
  <c r="AB958"/>
  <c r="AD958" s="1"/>
  <c r="AA958"/>
  <c r="AC958" s="1"/>
  <c r="AB957"/>
  <c r="AA957"/>
  <c r="AC957" s="1"/>
  <c r="AA956"/>
  <c r="AC956" s="1"/>
  <c r="P956"/>
  <c r="N956"/>
  <c r="L956"/>
  <c r="AB955"/>
  <c r="AD955" s="1"/>
  <c r="AA955"/>
  <c r="AC955" s="1"/>
  <c r="AB954"/>
  <c r="AD954" s="1"/>
  <c r="AA954"/>
  <c r="AC954" s="1"/>
  <c r="AA953"/>
  <c r="AC953" s="1"/>
  <c r="P953"/>
  <c r="N953"/>
  <c r="AB953" s="1"/>
  <c r="L953"/>
  <c r="AB952"/>
  <c r="AD952" s="1"/>
  <c r="M952"/>
  <c r="AA952" s="1"/>
  <c r="K952"/>
  <c r="AA951"/>
  <c r="AC951" s="1"/>
  <c r="P951"/>
  <c r="P948" s="1"/>
  <c r="N951"/>
  <c r="AB951" s="1"/>
  <c r="L951"/>
  <c r="AB950"/>
  <c r="AD950" s="1"/>
  <c r="M950"/>
  <c r="AA950" s="1"/>
  <c r="K950"/>
  <c r="AB949"/>
  <c r="AD949" s="1"/>
  <c r="AA949"/>
  <c r="AC949" s="1"/>
  <c r="AA948"/>
  <c r="AC948" s="1"/>
  <c r="N948"/>
  <c r="AB948" s="1"/>
  <c r="L948"/>
  <c r="AB947"/>
  <c r="AD947" s="1"/>
  <c r="AA947"/>
  <c r="K947"/>
  <c r="AB946"/>
  <c r="AD946" s="1"/>
  <c r="AA946"/>
  <c r="AC946" s="1"/>
  <c r="AB945"/>
  <c r="AD945" s="1"/>
  <c r="AA945"/>
  <c r="AC945" s="1"/>
  <c r="AB944"/>
  <c r="AD944" s="1"/>
  <c r="AA944"/>
  <c r="K944"/>
  <c r="P943"/>
  <c r="N943"/>
  <c r="AB943" s="1"/>
  <c r="M943"/>
  <c r="AA943" s="1"/>
  <c r="AC943" s="1"/>
  <c r="L943"/>
  <c r="AB942"/>
  <c r="AD942" s="1"/>
  <c r="AA942"/>
  <c r="K942"/>
  <c r="Z941"/>
  <c r="AB941" s="1"/>
  <c r="Y941"/>
  <c r="M941"/>
  <c r="K941"/>
  <c r="Y940"/>
  <c r="AA940" s="1"/>
  <c r="AC940" s="1"/>
  <c r="R940"/>
  <c r="P940"/>
  <c r="N940"/>
  <c r="L940"/>
  <c r="AD939"/>
  <c r="AB938"/>
  <c r="P938"/>
  <c r="L938"/>
  <c r="AD937"/>
  <c r="AD936"/>
  <c r="AD935"/>
  <c r="Q935"/>
  <c r="AD934"/>
  <c r="AB933"/>
  <c r="P933"/>
  <c r="L933"/>
  <c r="AD932"/>
  <c r="M932"/>
  <c r="AD931"/>
  <c r="Q931"/>
  <c r="Q930"/>
  <c r="L930"/>
  <c r="AD930" s="1"/>
  <c r="Q929"/>
  <c r="L929"/>
  <c r="AD929" s="1"/>
  <c r="L928"/>
  <c r="AD928" s="1"/>
  <c r="L927"/>
  <c r="AD927" s="1"/>
  <c r="L926"/>
  <c r="AD926" s="1"/>
  <c r="L925"/>
  <c r="AD925" s="1"/>
  <c r="Q924"/>
  <c r="L924"/>
  <c r="AD924" s="1"/>
  <c r="L923"/>
  <c r="AD923" s="1"/>
  <c r="L922"/>
  <c r="AD922" s="1"/>
  <c r="L921"/>
  <c r="AD921" s="1"/>
  <c r="K921"/>
  <c r="Y916"/>
  <c r="AC915"/>
  <c r="AB915"/>
  <c r="AD915" s="1"/>
  <c r="AA915"/>
  <c r="Z914"/>
  <c r="Y914"/>
  <c r="R914"/>
  <c r="Q914"/>
  <c r="P914"/>
  <c r="O914"/>
  <c r="N914"/>
  <c r="M914"/>
  <c r="L914"/>
  <c r="K914"/>
  <c r="AB913"/>
  <c r="AD913" s="1"/>
  <c r="AA913"/>
  <c r="AC913" s="1"/>
  <c r="Z912"/>
  <c r="Y912"/>
  <c r="R912"/>
  <c r="Q912"/>
  <c r="P912"/>
  <c r="O912"/>
  <c r="N912"/>
  <c r="M912"/>
  <c r="L912"/>
  <c r="K912"/>
  <c r="AB911"/>
  <c r="AD911" s="1"/>
  <c r="AA911"/>
  <c r="AC911" s="1"/>
  <c r="AB910"/>
  <c r="AD910" s="1"/>
  <c r="AA910"/>
  <c r="AC910" s="1"/>
  <c r="Z909"/>
  <c r="Y909"/>
  <c r="AA909" s="1"/>
  <c r="R909"/>
  <c r="Q909"/>
  <c r="P909"/>
  <c r="N909"/>
  <c r="L909"/>
  <c r="AB908"/>
  <c r="AD908" s="1"/>
  <c r="AA908"/>
  <c r="AC908" s="1"/>
  <c r="AB907"/>
  <c r="AD907" s="1"/>
  <c r="AA907"/>
  <c r="AC907" s="1"/>
  <c r="Z906"/>
  <c r="Y906"/>
  <c r="R906"/>
  <c r="Q906"/>
  <c r="P906"/>
  <c r="N906"/>
  <c r="M906"/>
  <c r="L906"/>
  <c r="AB905"/>
  <c r="AD905" s="1"/>
  <c r="AA905"/>
  <c r="AC905" s="1"/>
  <c r="P904"/>
  <c r="O904"/>
  <c r="N904"/>
  <c r="AB904" s="1"/>
  <c r="M904"/>
  <c r="AA904" s="1"/>
  <c r="L904"/>
  <c r="K904"/>
  <c r="AB903"/>
  <c r="AD903" s="1"/>
  <c r="AA903"/>
  <c r="AC903" s="1"/>
  <c r="AB902"/>
  <c r="AD902" s="1"/>
  <c r="AA902"/>
  <c r="AC902" s="1"/>
  <c r="AD901"/>
  <c r="AB901"/>
  <c r="AA901"/>
  <c r="AC901" s="1"/>
  <c r="AB900"/>
  <c r="AD900" s="1"/>
  <c r="AA900"/>
  <c r="AC900" s="1"/>
  <c r="AB899"/>
  <c r="AD899" s="1"/>
  <c r="AA899"/>
  <c r="AC899" s="1"/>
  <c r="AB898"/>
  <c r="AD898" s="1"/>
  <c r="AA898"/>
  <c r="AC898" s="1"/>
  <c r="Z897"/>
  <c r="Y897"/>
  <c r="AA897" s="1"/>
  <c r="R897"/>
  <c r="Q897"/>
  <c r="P897"/>
  <c r="N897"/>
  <c r="L897"/>
  <c r="AB896"/>
  <c r="AD896" s="1"/>
  <c r="AA896"/>
  <c r="AC896" s="1"/>
  <c r="AB895"/>
  <c r="AD895" s="1"/>
  <c r="AA895"/>
  <c r="AC895" s="1"/>
  <c r="Z894"/>
  <c r="Y894"/>
  <c r="R894"/>
  <c r="Q894"/>
  <c r="P894"/>
  <c r="O894"/>
  <c r="N894"/>
  <c r="M894"/>
  <c r="AA894" s="1"/>
  <c r="AC894" s="1"/>
  <c r="L894"/>
  <c r="K894"/>
  <c r="AB893"/>
  <c r="AD893" s="1"/>
  <c r="AA893"/>
  <c r="AC893" s="1"/>
  <c r="Z892"/>
  <c r="Y892"/>
  <c r="R892"/>
  <c r="Q892"/>
  <c r="P892"/>
  <c r="O892"/>
  <c r="N892"/>
  <c r="M892"/>
  <c r="AA892" s="1"/>
  <c r="L892"/>
  <c r="K892"/>
  <c r="AB891"/>
  <c r="AD891" s="1"/>
  <c r="AA891"/>
  <c r="AC891" s="1"/>
  <c r="Z890"/>
  <c r="AB890" s="1"/>
  <c r="R890"/>
  <c r="Q890"/>
  <c r="P890"/>
  <c r="O890"/>
  <c r="M890"/>
  <c r="AA890" s="1"/>
  <c r="L890"/>
  <c r="K890"/>
  <c r="AB889"/>
  <c r="AD889" s="1"/>
  <c r="AA889"/>
  <c r="AC889" s="1"/>
  <c r="AB888"/>
  <c r="AD888" s="1"/>
  <c r="AA888"/>
  <c r="AC888" s="1"/>
  <c r="O888"/>
  <c r="AB887"/>
  <c r="AD887" s="1"/>
  <c r="AA887"/>
  <c r="AC887" s="1"/>
  <c r="AB886"/>
  <c r="AD886" s="1"/>
  <c r="AA886"/>
  <c r="AC886" s="1"/>
  <c r="AB885"/>
  <c r="AD885" s="1"/>
  <c r="AA885"/>
  <c r="AC885" s="1"/>
  <c r="Z884"/>
  <c r="Y884"/>
  <c r="AA884" s="1"/>
  <c r="AC884" s="1"/>
  <c r="R884"/>
  <c r="P884"/>
  <c r="N884"/>
  <c r="AB884" s="1"/>
  <c r="L884"/>
  <c r="AB883"/>
  <c r="AD883" s="1"/>
  <c r="AA883"/>
  <c r="AC883" s="1"/>
  <c r="AB882"/>
  <c r="AD882" s="1"/>
  <c r="AA882"/>
  <c r="AC882" s="1"/>
  <c r="AB881"/>
  <c r="AD881" s="1"/>
  <c r="AA881"/>
  <c r="AC881" s="1"/>
  <c r="AB880"/>
  <c r="AD880" s="1"/>
  <c r="AA880"/>
  <c r="AC880" s="1"/>
  <c r="AB879"/>
  <c r="AD879" s="1"/>
  <c r="AA879"/>
  <c r="AC879" s="1"/>
  <c r="AB878"/>
  <c r="AD878" s="1"/>
  <c r="AA878"/>
  <c r="AC878" s="1"/>
  <c r="AB877"/>
  <c r="AD877" s="1"/>
  <c r="AA877"/>
  <c r="AC877" s="1"/>
  <c r="AB876"/>
  <c r="AD876" s="1"/>
  <c r="AA876"/>
  <c r="AC876" s="1"/>
  <c r="AB875"/>
  <c r="AD875" s="1"/>
  <c r="AA875"/>
  <c r="AC875" s="1"/>
  <c r="AB874"/>
  <c r="AD874" s="1"/>
  <c r="AA874"/>
  <c r="AC874" s="1"/>
  <c r="AB873"/>
  <c r="AD873" s="1"/>
  <c r="AA873"/>
  <c r="AC873" s="1"/>
  <c r="AB872"/>
  <c r="AD872" s="1"/>
  <c r="AA872"/>
  <c r="AC872" s="1"/>
  <c r="AB871"/>
  <c r="AD871" s="1"/>
  <c r="AA871"/>
  <c r="AC871" s="1"/>
  <c r="AB870"/>
  <c r="AD870" s="1"/>
  <c r="AA870"/>
  <c r="AC870" s="1"/>
  <c r="Z869"/>
  <c r="AB869" s="1"/>
  <c r="Y869"/>
  <c r="R869"/>
  <c r="Q869"/>
  <c r="P869"/>
  <c r="O869"/>
  <c r="M869"/>
  <c r="L869"/>
  <c r="K869"/>
  <c r="Y866"/>
  <c r="AA866" s="1"/>
  <c r="AC866" s="1"/>
  <c r="AA865"/>
  <c r="AC865" s="1"/>
  <c r="Z865"/>
  <c r="AB865" s="1"/>
  <c r="P864"/>
  <c r="L864"/>
  <c r="Y863"/>
  <c r="AA863" s="1"/>
  <c r="AC863" s="1"/>
  <c r="AA862"/>
  <c r="AC862" s="1"/>
  <c r="AA861"/>
  <c r="AC861" s="1"/>
  <c r="AA860"/>
  <c r="AC860" s="1"/>
  <c r="AA859"/>
  <c r="AC859" s="1"/>
  <c r="AA858"/>
  <c r="AC858" s="1"/>
  <c r="Z858"/>
  <c r="AB858" s="1"/>
  <c r="P857"/>
  <c r="L857"/>
  <c r="Y856"/>
  <c r="AA856" s="1"/>
  <c r="AC856" s="1"/>
  <c r="AC855"/>
  <c r="AA855"/>
  <c r="AA854"/>
  <c r="AC854" s="1"/>
  <c r="AA853"/>
  <c r="AC853" s="1"/>
  <c r="Z853"/>
  <c r="AB853" s="1"/>
  <c r="AB852" s="1"/>
  <c r="P852"/>
  <c r="L852"/>
  <c r="AA851"/>
  <c r="Y851"/>
  <c r="O851"/>
  <c r="M851"/>
  <c r="K851"/>
  <c r="AC851" s="1"/>
  <c r="AA850"/>
  <c r="O850"/>
  <c r="Y850" s="1"/>
  <c r="M850"/>
  <c r="K850"/>
  <c r="AC850" s="1"/>
  <c r="AA849"/>
  <c r="O849"/>
  <c r="Y849" s="1"/>
  <c r="M849"/>
  <c r="K849"/>
  <c r="AB848"/>
  <c r="AA848"/>
  <c r="O848"/>
  <c r="Y848" s="1"/>
  <c r="M848"/>
  <c r="L848"/>
  <c r="K848"/>
  <c r="AA847"/>
  <c r="AC847" s="1"/>
  <c r="Y847"/>
  <c r="AA846"/>
  <c r="AC846" s="1"/>
  <c r="Y846"/>
  <c r="L846"/>
  <c r="AA845"/>
  <c r="AC845" s="1"/>
  <c r="Y845"/>
  <c r="AA844"/>
  <c r="AC844" s="1"/>
  <c r="Y844"/>
  <c r="AA843"/>
  <c r="AC843" s="1"/>
  <c r="Z843"/>
  <c r="AB843" s="1"/>
  <c r="Y843"/>
  <c r="P842"/>
  <c r="N842"/>
  <c r="Y839"/>
  <c r="AA839" s="1"/>
  <c r="AC839" s="1"/>
  <c r="Z838"/>
  <c r="AB838" s="1"/>
  <c r="Y838"/>
  <c r="AA838" s="1"/>
  <c r="AC838" s="1"/>
  <c r="P837"/>
  <c r="N837"/>
  <c r="L837"/>
  <c r="Z836"/>
  <c r="AB836" s="1"/>
  <c r="AD836" s="1"/>
  <c r="Y836"/>
  <c r="AA836" s="1"/>
  <c r="K836"/>
  <c r="AA835"/>
  <c r="K835"/>
  <c r="AC835" s="1"/>
  <c r="AA834"/>
  <c r="K834"/>
  <c r="AA833"/>
  <c r="K833"/>
  <c r="AA832"/>
  <c r="K832"/>
  <c r="Z831"/>
  <c r="AB831" s="1"/>
  <c r="AD831" s="1"/>
  <c r="Y831"/>
  <c r="AA831" s="1"/>
  <c r="K831"/>
  <c r="Z830"/>
  <c r="AB830" s="1"/>
  <c r="AD830" s="1"/>
  <c r="Y830"/>
  <c r="AA830" s="1"/>
  <c r="K830"/>
  <c r="P829"/>
  <c r="L829"/>
  <c r="Z828"/>
  <c r="AB828" s="1"/>
  <c r="Y828"/>
  <c r="M828"/>
  <c r="L828"/>
  <c r="K828"/>
  <c r="AA827"/>
  <c r="Z827"/>
  <c r="AB827" s="1"/>
  <c r="AD827" s="1"/>
  <c r="L827"/>
  <c r="K827"/>
  <c r="Z826"/>
  <c r="AB826" s="1"/>
  <c r="AD826" s="1"/>
  <c r="Y826"/>
  <c r="AA826" s="1"/>
  <c r="AC826" s="1"/>
  <c r="Z825"/>
  <c r="AB825" s="1"/>
  <c r="Y825"/>
  <c r="AA825" s="1"/>
  <c r="AC825" s="1"/>
  <c r="R824"/>
  <c r="P824"/>
  <c r="N824"/>
  <c r="Z823"/>
  <c r="AB823" s="1"/>
  <c r="Y823"/>
  <c r="AA823" s="1"/>
  <c r="K823"/>
  <c r="R822"/>
  <c r="P822"/>
  <c r="N822"/>
  <c r="L822"/>
  <c r="Z821"/>
  <c r="AB821" s="1"/>
  <c r="Y821"/>
  <c r="AA821" s="1"/>
  <c r="L821"/>
  <c r="K821"/>
  <c r="P820"/>
  <c r="N820"/>
  <c r="L820"/>
  <c r="Z819"/>
  <c r="AB819" s="1"/>
  <c r="AD819" s="1"/>
  <c r="Y819"/>
  <c r="AA819" s="1"/>
  <c r="AC819" s="1"/>
  <c r="Z818"/>
  <c r="AB818" s="1"/>
  <c r="AD818" s="1"/>
  <c r="Y818"/>
  <c r="K818"/>
  <c r="Z817"/>
  <c r="Y817"/>
  <c r="AA817" s="1"/>
  <c r="K817"/>
  <c r="AE816"/>
  <c r="X816"/>
  <c r="W816"/>
  <c r="V816"/>
  <c r="U816"/>
  <c r="T816"/>
  <c r="S816"/>
  <c r="R816"/>
  <c r="Q816"/>
  <c r="P816"/>
  <c r="O816"/>
  <c r="N816"/>
  <c r="M816"/>
  <c r="L816"/>
  <c r="Y815"/>
  <c r="Y814"/>
  <c r="AA814" s="1"/>
  <c r="AC814" s="1"/>
  <c r="Z813"/>
  <c r="AB813" s="1"/>
  <c r="AB812" s="1"/>
  <c r="Y813"/>
  <c r="AA813" s="1"/>
  <c r="AC813" s="1"/>
  <c r="L813"/>
  <c r="L812" s="1"/>
  <c r="AE812"/>
  <c r="X812"/>
  <c r="W812"/>
  <c r="V812"/>
  <c r="U812"/>
  <c r="T812"/>
  <c r="S812"/>
  <c r="R812"/>
  <c r="Q812"/>
  <c r="P812"/>
  <c r="O812"/>
  <c r="N812"/>
  <c r="M812"/>
  <c r="K812"/>
  <c r="Z811"/>
  <c r="AB811" s="1"/>
  <c r="AD811" s="1"/>
  <c r="Y811"/>
  <c r="M811"/>
  <c r="K811"/>
  <c r="Z809"/>
  <c r="AB809" s="1"/>
  <c r="AD809" s="1"/>
  <c r="Y809"/>
  <c r="M809"/>
  <c r="K809"/>
  <c r="Z807"/>
  <c r="AB807" s="1"/>
  <c r="AD807" s="1"/>
  <c r="Y807"/>
  <c r="M807"/>
  <c r="K807"/>
  <c r="Z806"/>
  <c r="AB806" s="1"/>
  <c r="AD806" s="1"/>
  <c r="Y806"/>
  <c r="M806"/>
  <c r="K806"/>
  <c r="Y805"/>
  <c r="AA805" s="1"/>
  <c r="K805"/>
  <c r="AB804"/>
  <c r="AD804" s="1"/>
  <c r="Z804"/>
  <c r="Y804"/>
  <c r="M804"/>
  <c r="K804"/>
  <c r="Z803"/>
  <c r="AB803" s="1"/>
  <c r="AD803" s="1"/>
  <c r="Y803"/>
  <c r="M803"/>
  <c r="K803"/>
  <c r="Z802"/>
  <c r="AB802" s="1"/>
  <c r="AD802" s="1"/>
  <c r="Y802"/>
  <c r="M802"/>
  <c r="K802"/>
  <c r="Z801"/>
  <c r="AB801" s="1"/>
  <c r="AD801" s="1"/>
  <c r="Y801"/>
  <c r="M801"/>
  <c r="K801"/>
  <c r="Y800"/>
  <c r="M800"/>
  <c r="K800"/>
  <c r="Y799"/>
  <c r="AA799" s="1"/>
  <c r="K799"/>
  <c r="Z798"/>
  <c r="Y798"/>
  <c r="AA798" s="1"/>
  <c r="K798"/>
  <c r="Z797"/>
  <c r="AB797" s="1"/>
  <c r="AD797" s="1"/>
  <c r="Y797"/>
  <c r="M797"/>
  <c r="K797"/>
  <c r="Z796"/>
  <c r="AB796" s="1"/>
  <c r="AD796" s="1"/>
  <c r="Y796"/>
  <c r="M796"/>
  <c r="K796"/>
  <c r="M795"/>
  <c r="K795"/>
  <c r="Z794"/>
  <c r="AB794" s="1"/>
  <c r="AD794" s="1"/>
  <c r="Y794"/>
  <c r="M794"/>
  <c r="K794"/>
  <c r="Z793"/>
  <c r="AB793" s="1"/>
  <c r="Y793"/>
  <c r="M793"/>
  <c r="K793"/>
  <c r="R792"/>
  <c r="Q792"/>
  <c r="Y792" s="1"/>
  <c r="P792"/>
  <c r="O792"/>
  <c r="N792"/>
  <c r="L792"/>
  <c r="Z780"/>
  <c r="AB780" s="1"/>
  <c r="AD780" s="1"/>
  <c r="Y780"/>
  <c r="AA780" s="1"/>
  <c r="AC780" s="1"/>
  <c r="R779"/>
  <c r="Z779" s="1"/>
  <c r="Q779"/>
  <c r="Y779" s="1"/>
  <c r="AA779" s="1"/>
  <c r="P779"/>
  <c r="N779"/>
  <c r="L779"/>
  <c r="K779"/>
  <c r="Z778"/>
  <c r="AB778" s="1"/>
  <c r="AD778" s="1"/>
  <c r="Y778"/>
  <c r="AA778" s="1"/>
  <c r="AC778" s="1"/>
  <c r="Z777"/>
  <c r="AB777" s="1"/>
  <c r="AD777" s="1"/>
  <c r="Y777"/>
  <c r="AA777" s="1"/>
  <c r="AC777" s="1"/>
  <c r="R776"/>
  <c r="Z776" s="1"/>
  <c r="Q776"/>
  <c r="Y776" s="1"/>
  <c r="P776"/>
  <c r="O776"/>
  <c r="N776"/>
  <c r="AB776" s="1"/>
  <c r="M776"/>
  <c r="L776"/>
  <c r="K776"/>
  <c r="Z775"/>
  <c r="AB775" s="1"/>
  <c r="AD775" s="1"/>
  <c r="Y775"/>
  <c r="AA775" s="1"/>
  <c r="AC775" s="1"/>
  <c r="Z774"/>
  <c r="AB774" s="1"/>
  <c r="AD774" s="1"/>
  <c r="Y774"/>
  <c r="AA774" s="1"/>
  <c r="AC774" s="1"/>
  <c r="Z773"/>
  <c r="AB773" s="1"/>
  <c r="AD773" s="1"/>
  <c r="Y773"/>
  <c r="AA773" s="1"/>
  <c r="AC773" s="1"/>
  <c r="Z772"/>
  <c r="AB772" s="1"/>
  <c r="AD772" s="1"/>
  <c r="Y772"/>
  <c r="AA772" s="1"/>
  <c r="AC772" s="1"/>
  <c r="Z771"/>
  <c r="AB771" s="1"/>
  <c r="AD771" s="1"/>
  <c r="Y771"/>
  <c r="AA771" s="1"/>
  <c r="AC771" s="1"/>
  <c r="Z770"/>
  <c r="AB770" s="1"/>
  <c r="AD770" s="1"/>
  <c r="Y770"/>
  <c r="AA770" s="1"/>
  <c r="AC770" s="1"/>
  <c r="Z769"/>
  <c r="AB769" s="1"/>
  <c r="AD769" s="1"/>
  <c r="Y769"/>
  <c r="AA769" s="1"/>
  <c r="AC769" s="1"/>
  <c r="Z768"/>
  <c r="AB768" s="1"/>
  <c r="AD768" s="1"/>
  <c r="Y768"/>
  <c r="AA768" s="1"/>
  <c r="AC768" s="1"/>
  <c r="Z767"/>
  <c r="AB767" s="1"/>
  <c r="AD767" s="1"/>
  <c r="Y767"/>
  <c r="AA767" s="1"/>
  <c r="AC767" s="1"/>
  <c r="Z766"/>
  <c r="AB766" s="1"/>
  <c r="AD766" s="1"/>
  <c r="Y766"/>
  <c r="AA766" s="1"/>
  <c r="AC766" s="1"/>
  <c r="Z765"/>
  <c r="AB765" s="1"/>
  <c r="AD765" s="1"/>
  <c r="Y765"/>
  <c r="AA765" s="1"/>
  <c r="AC765" s="1"/>
  <c r="Z764"/>
  <c r="AB764" s="1"/>
  <c r="AD764" s="1"/>
  <c r="Y764"/>
  <c r="AA764" s="1"/>
  <c r="AC764" s="1"/>
  <c r="Y763"/>
  <c r="AA763" s="1"/>
  <c r="AC763" s="1"/>
  <c r="R763"/>
  <c r="Z763" s="1"/>
  <c r="P763"/>
  <c r="N763"/>
  <c r="L763"/>
  <c r="AC762"/>
  <c r="Z762"/>
  <c r="AB762" s="1"/>
  <c r="Y762"/>
  <c r="Z761"/>
  <c r="AB761" s="1"/>
  <c r="AD761" s="1"/>
  <c r="Y761"/>
  <c r="AA761" s="1"/>
  <c r="AC761" s="1"/>
  <c r="Z760"/>
  <c r="AB760" s="1"/>
  <c r="AD760" s="1"/>
  <c r="Y760"/>
  <c r="AA760" s="1"/>
  <c r="AC760" s="1"/>
  <c r="Z759"/>
  <c r="AB759" s="1"/>
  <c r="AD759" s="1"/>
  <c r="Y759"/>
  <c r="AA759" s="1"/>
  <c r="AC759" s="1"/>
  <c r="Z758"/>
  <c r="AB758" s="1"/>
  <c r="Y758"/>
  <c r="AA758" s="1"/>
  <c r="AC758" s="1"/>
  <c r="Z757"/>
  <c r="AB757" s="1"/>
  <c r="AD757" s="1"/>
  <c r="Y757"/>
  <c r="AA757" s="1"/>
  <c r="AC757" s="1"/>
  <c r="Z756"/>
  <c r="AB756" s="1"/>
  <c r="AD756" s="1"/>
  <c r="Y756"/>
  <c r="AA756" s="1"/>
  <c r="AC756" s="1"/>
  <c r="Z755"/>
  <c r="AB755" s="1"/>
  <c r="AD755" s="1"/>
  <c r="Y755"/>
  <c r="AA755" s="1"/>
  <c r="AC755" s="1"/>
  <c r="Z754"/>
  <c r="AB754" s="1"/>
  <c r="AD754" s="1"/>
  <c r="Y754"/>
  <c r="AA754" s="1"/>
  <c r="AC754" s="1"/>
  <c r="Z753"/>
  <c r="AB753" s="1"/>
  <c r="AD753" s="1"/>
  <c r="Y753"/>
  <c r="AA753" s="1"/>
  <c r="AC753" s="1"/>
  <c r="Z752"/>
  <c r="AB752" s="1"/>
  <c r="Y752"/>
  <c r="AA752" s="1"/>
  <c r="AC752" s="1"/>
  <c r="Z751"/>
  <c r="AB751" s="1"/>
  <c r="AD751" s="1"/>
  <c r="Y751"/>
  <c r="AA751" s="1"/>
  <c r="AC751" s="1"/>
  <c r="Z750"/>
  <c r="AB750" s="1"/>
  <c r="AD750" s="1"/>
  <c r="Q750"/>
  <c r="Y750" s="1"/>
  <c r="AA750" s="1"/>
  <c r="AC750" s="1"/>
  <c r="Z749"/>
  <c r="AB749" s="1"/>
  <c r="Y749"/>
  <c r="AA749" s="1"/>
  <c r="AC749" s="1"/>
  <c r="Z748"/>
  <c r="AB748" s="1"/>
  <c r="AD748" s="1"/>
  <c r="Y748"/>
  <c r="AA748" s="1"/>
  <c r="AC748" s="1"/>
  <c r="Z747"/>
  <c r="AB747" s="1"/>
  <c r="AD747" s="1"/>
  <c r="Y747"/>
  <c r="AA747" s="1"/>
  <c r="AC747" s="1"/>
  <c r="Z746"/>
  <c r="AB746" s="1"/>
  <c r="AD746" s="1"/>
  <c r="Y746"/>
  <c r="AA746" s="1"/>
  <c r="AC746" s="1"/>
  <c r="Z745"/>
  <c r="AB745" s="1"/>
  <c r="AD745" s="1"/>
  <c r="Y745"/>
  <c r="AA745" s="1"/>
  <c r="AC745" s="1"/>
  <c r="Z744"/>
  <c r="AB744" s="1"/>
  <c r="Q744"/>
  <c r="Y744" s="1"/>
  <c r="AA744" s="1"/>
  <c r="AC744" s="1"/>
  <c r="Z743"/>
  <c r="AB743" s="1"/>
  <c r="AD743" s="1"/>
  <c r="Q743"/>
  <c r="Y743" s="1"/>
  <c r="AA743" s="1"/>
  <c r="AC743" s="1"/>
  <c r="Z742"/>
  <c r="AB742" s="1"/>
  <c r="AD742" s="1"/>
  <c r="Q742"/>
  <c r="Y742" s="1"/>
  <c r="AA742" s="1"/>
  <c r="AC742" s="1"/>
  <c r="X741"/>
  <c r="V741"/>
  <c r="T741"/>
  <c r="R741"/>
  <c r="P741"/>
  <c r="N741"/>
  <c r="L741"/>
  <c r="AB736"/>
  <c r="AD736" s="1"/>
  <c r="AB735"/>
  <c r="AD735" s="1"/>
  <c r="AB734"/>
  <c r="AD734" s="1"/>
  <c r="AB733"/>
  <c r="AD733" s="1"/>
  <c r="AB724"/>
  <c r="AD724" s="1"/>
  <c r="Z719"/>
  <c r="AB719" s="1"/>
  <c r="R719"/>
  <c r="Q719" s="1"/>
  <c r="P719"/>
  <c r="L719"/>
  <c r="AB715"/>
  <c r="AD715" s="1"/>
  <c r="M715"/>
  <c r="Z714"/>
  <c r="R714"/>
  <c r="P714"/>
  <c r="L714"/>
  <c r="AB712"/>
  <c r="AD712" s="1"/>
  <c r="M712"/>
  <c r="AB711"/>
  <c r="AD711" s="1"/>
  <c r="AA711"/>
  <c r="M711"/>
  <c r="AB701"/>
  <c r="AD701" s="1"/>
  <c r="M701"/>
  <c r="AB700"/>
  <c r="AD700" s="1"/>
  <c r="AA700"/>
  <c r="M700"/>
  <c r="AB699"/>
  <c r="AB698"/>
  <c r="AB697"/>
  <c r="AB696"/>
  <c r="AD696" s="1"/>
  <c r="AA696"/>
  <c r="M696"/>
  <c r="AB695"/>
  <c r="AD695" s="1"/>
  <c r="AA695"/>
  <c r="O695"/>
  <c r="AB694"/>
  <c r="AB691"/>
  <c r="AD691" s="1"/>
  <c r="AA691"/>
  <c r="AB690"/>
  <c r="AB689"/>
  <c r="AD689" s="1"/>
  <c r="AA689"/>
  <c r="O689"/>
  <c r="Z688"/>
  <c r="R688"/>
  <c r="P688"/>
  <c r="L688"/>
  <c r="AB675"/>
  <c r="AD675" s="1"/>
  <c r="AB671"/>
  <c r="AD671" s="1"/>
  <c r="AB670"/>
  <c r="AD670" s="1"/>
  <c r="AA670"/>
  <c r="M670"/>
  <c r="AB669"/>
  <c r="AD669" s="1"/>
  <c r="AA669"/>
  <c r="M669"/>
  <c r="AB668"/>
  <c r="AD668" s="1"/>
  <c r="M668"/>
  <c r="AB667"/>
  <c r="AD667" s="1"/>
  <c r="AA667"/>
  <c r="K667"/>
  <c r="AB666"/>
  <c r="AD666" s="1"/>
  <c r="AA666"/>
  <c r="AB665"/>
  <c r="AD665" s="1"/>
  <c r="AA665"/>
  <c r="AB664"/>
  <c r="AD664" s="1"/>
  <c r="AB663"/>
  <c r="AD663" s="1"/>
  <c r="AA663"/>
  <c r="K663"/>
  <c r="M663" s="1"/>
  <c r="Z662"/>
  <c r="R662"/>
  <c r="P662"/>
  <c r="M662"/>
  <c r="L662"/>
  <c r="AB660"/>
  <c r="AD660" s="1"/>
  <c r="AA660"/>
  <c r="M660"/>
  <c r="O660" s="1"/>
  <c r="AD657"/>
  <c r="M657"/>
  <c r="Z654"/>
  <c r="R654"/>
  <c r="P654"/>
  <c r="L654"/>
  <c r="AB652"/>
  <c r="AD652" s="1"/>
  <c r="Z651"/>
  <c r="R651"/>
  <c r="P651"/>
  <c r="L651"/>
  <c r="AB650"/>
  <c r="AD650" s="1"/>
  <c r="Z649"/>
  <c r="AB649" s="1"/>
  <c r="R649"/>
  <c r="P649"/>
  <c r="L649"/>
  <c r="AB646"/>
  <c r="AD646" s="1"/>
  <c r="AB645"/>
  <c r="AD645" s="1"/>
  <c r="AA645"/>
  <c r="AB639"/>
  <c r="AD639" s="1"/>
  <c r="AA639"/>
  <c r="Z635"/>
  <c r="R635"/>
  <c r="P635"/>
  <c r="N635"/>
  <c r="N737" s="1"/>
  <c r="L635"/>
  <c r="AB633"/>
  <c r="AB629"/>
  <c r="AD629" s="1"/>
  <c r="AA629"/>
  <c r="AB628"/>
  <c r="AD628" s="1"/>
  <c r="AA628"/>
  <c r="O628"/>
  <c r="AB627"/>
  <c r="AD627" s="1"/>
  <c r="AA627"/>
  <c r="AB626"/>
  <c r="AD626" s="1"/>
  <c r="AA626"/>
  <c r="Q626"/>
  <c r="AB625"/>
  <c r="AD625" s="1"/>
  <c r="AA625"/>
  <c r="AB624"/>
  <c r="AD624" s="1"/>
  <c r="AA624"/>
  <c r="AB623"/>
  <c r="AD623" s="1"/>
  <c r="AA623"/>
  <c r="AB622"/>
  <c r="AD622" s="1"/>
  <c r="AA622"/>
  <c r="AB621"/>
  <c r="AD621" s="1"/>
  <c r="AA621"/>
  <c r="AB620"/>
  <c r="AD620" s="1"/>
  <c r="AA620"/>
  <c r="AB619"/>
  <c r="AD619" s="1"/>
  <c r="AA619"/>
  <c r="AB618"/>
  <c r="AD618" s="1"/>
  <c r="AA618"/>
  <c r="AB617"/>
  <c r="AD617" s="1"/>
  <c r="AA617"/>
  <c r="Z616"/>
  <c r="AB616" s="1"/>
  <c r="R616"/>
  <c r="P616"/>
  <c r="L616"/>
  <c r="Z608"/>
  <c r="AB608" s="1"/>
  <c r="AD608" s="1"/>
  <c r="Y608"/>
  <c r="AA608" s="1"/>
  <c r="AC608" s="1"/>
  <c r="Z607"/>
  <c r="AB607" s="1"/>
  <c r="AD607" s="1"/>
  <c r="Y607"/>
  <c r="AA607" s="1"/>
  <c r="AC607" s="1"/>
  <c r="Z606"/>
  <c r="AB606" s="1"/>
  <c r="AD606" s="1"/>
  <c r="Y606"/>
  <c r="AA606" s="1"/>
  <c r="AC606" s="1"/>
  <c r="Z605"/>
  <c r="AB605" s="1"/>
  <c r="AD605" s="1"/>
  <c r="Y605"/>
  <c r="AA605" s="1"/>
  <c r="AC605" s="1"/>
  <c r="Z604"/>
  <c r="AB604" s="1"/>
  <c r="AD604" s="1"/>
  <c r="Y604"/>
  <c r="AA604" s="1"/>
  <c r="AC604" s="1"/>
  <c r="Z603"/>
  <c r="AB603" s="1"/>
  <c r="AD603" s="1"/>
  <c r="Y603"/>
  <c r="AA603" s="1"/>
  <c r="AC603" s="1"/>
  <c r="Z602"/>
  <c r="AB602" s="1"/>
  <c r="AD602" s="1"/>
  <c r="Y602"/>
  <c r="AA602" s="1"/>
  <c r="AC602" s="1"/>
  <c r="Z601"/>
  <c r="AB601" s="1"/>
  <c r="AD601" s="1"/>
  <c r="Y601"/>
  <c r="AA601" s="1"/>
  <c r="AC601" s="1"/>
  <c r="Z600"/>
  <c r="AB600" s="1"/>
  <c r="AD600" s="1"/>
  <c r="Y600"/>
  <c r="AA600" s="1"/>
  <c r="AC600" s="1"/>
  <c r="Z599"/>
  <c r="AB599" s="1"/>
  <c r="AD599" s="1"/>
  <c r="Y599"/>
  <c r="AA599" s="1"/>
  <c r="AC599" s="1"/>
  <c r="AB598"/>
  <c r="AA598"/>
  <c r="AC598" s="1"/>
  <c r="AA596"/>
  <c r="AC596" s="1"/>
  <c r="Y596"/>
  <c r="R596"/>
  <c r="Z596" s="1"/>
  <c r="P596"/>
  <c r="N596"/>
  <c r="L596"/>
  <c r="Z595"/>
  <c r="Y595"/>
  <c r="AA595" s="1"/>
  <c r="AC595" s="1"/>
  <c r="N595"/>
  <c r="Z594"/>
  <c r="Y594"/>
  <c r="AA594" s="1"/>
  <c r="AC594" s="1"/>
  <c r="N594"/>
  <c r="Z593"/>
  <c r="AB593" s="1"/>
  <c r="AD593" s="1"/>
  <c r="Y593"/>
  <c r="AA593" s="1"/>
  <c r="AC593" s="1"/>
  <c r="Z592"/>
  <c r="AB592" s="1"/>
  <c r="AD592" s="1"/>
  <c r="Y592"/>
  <c r="AA592" s="1"/>
  <c r="AC592" s="1"/>
  <c r="Z591"/>
  <c r="AB591" s="1"/>
  <c r="AD591" s="1"/>
  <c r="Y591"/>
  <c r="AA591" s="1"/>
  <c r="AC591" s="1"/>
  <c r="Z590"/>
  <c r="AB590" s="1"/>
  <c r="AD590" s="1"/>
  <c r="Y590"/>
  <c r="AA590" s="1"/>
  <c r="AC590" s="1"/>
  <c r="Z589"/>
  <c r="AB589" s="1"/>
  <c r="AD589" s="1"/>
  <c r="Y589"/>
  <c r="AA589" s="1"/>
  <c r="AC589" s="1"/>
  <c r="Z588"/>
  <c r="AB588" s="1"/>
  <c r="AD588" s="1"/>
  <c r="Y588"/>
  <c r="AA588" s="1"/>
  <c r="AC588" s="1"/>
  <c r="Z587"/>
  <c r="AB587" s="1"/>
  <c r="AD587" s="1"/>
  <c r="Y587"/>
  <c r="AA587" s="1"/>
  <c r="AC587" s="1"/>
  <c r="Z586"/>
  <c r="AB586" s="1"/>
  <c r="AD586" s="1"/>
  <c r="Y586"/>
  <c r="AA586" s="1"/>
  <c r="AC586" s="1"/>
  <c r="Z585"/>
  <c r="AB585" s="1"/>
  <c r="Y585"/>
  <c r="AA585" s="1"/>
  <c r="AC585" s="1"/>
  <c r="L585"/>
  <c r="L583" s="1"/>
  <c r="AC584"/>
  <c r="Z584"/>
  <c r="AB584" s="1"/>
  <c r="AC583"/>
  <c r="R583"/>
  <c r="Z583" s="1"/>
  <c r="P583"/>
  <c r="O583"/>
  <c r="AA582"/>
  <c r="AC582" s="1"/>
  <c r="Z582"/>
  <c r="AB582" s="1"/>
  <c r="AD582" s="1"/>
  <c r="Z581"/>
  <c r="AB581" s="1"/>
  <c r="AD581" s="1"/>
  <c r="Y581"/>
  <c r="AA581" s="1"/>
  <c r="AC581" s="1"/>
  <c r="Z580"/>
  <c r="AB580" s="1"/>
  <c r="AD580" s="1"/>
  <c r="Y580"/>
  <c r="AA580" s="1"/>
  <c r="AC580" s="1"/>
  <c r="AB579"/>
  <c r="Y579"/>
  <c r="AA579" s="1"/>
  <c r="AC579" s="1"/>
  <c r="L579"/>
  <c r="L578" s="1"/>
  <c r="AA578"/>
  <c r="AC578" s="1"/>
  <c r="R578"/>
  <c r="Z578" s="1"/>
  <c r="P578"/>
  <c r="N578"/>
  <c r="Z577"/>
  <c r="AB577" s="1"/>
  <c r="AD577" s="1"/>
  <c r="Y577"/>
  <c r="AA577" s="1"/>
  <c r="AC577" s="1"/>
  <c r="Z576"/>
  <c r="AB576" s="1"/>
  <c r="AD576" s="1"/>
  <c r="Y576"/>
  <c r="AA576" s="1"/>
  <c r="AC576" s="1"/>
  <c r="Z575"/>
  <c r="AB575" s="1"/>
  <c r="AD575" s="1"/>
  <c r="Y575"/>
  <c r="AA575" s="1"/>
  <c r="AC575" s="1"/>
  <c r="Z574"/>
  <c r="AB574" s="1"/>
  <c r="AD574" s="1"/>
  <c r="Y574"/>
  <c r="AA574" s="1"/>
  <c r="AC574" s="1"/>
  <c r="Z573"/>
  <c r="AB573" s="1"/>
  <c r="AD573" s="1"/>
  <c r="Y573"/>
  <c r="AA573" s="1"/>
  <c r="AC573" s="1"/>
  <c r="Z572"/>
  <c r="AB572" s="1"/>
  <c r="AD572" s="1"/>
  <c r="Y572"/>
  <c r="AA572" s="1"/>
  <c r="AC572" s="1"/>
  <c r="Z571"/>
  <c r="AB571" s="1"/>
  <c r="AD571" s="1"/>
  <c r="Y571"/>
  <c r="AA571" s="1"/>
  <c r="AC571" s="1"/>
  <c r="Z570"/>
  <c r="AB570" s="1"/>
  <c r="AD570" s="1"/>
  <c r="Y570"/>
  <c r="AA570" s="1"/>
  <c r="AC570" s="1"/>
  <c r="Z569"/>
  <c r="AB569" s="1"/>
  <c r="AD569" s="1"/>
  <c r="Y569"/>
  <c r="AA569" s="1"/>
  <c r="AC569" s="1"/>
  <c r="Z568"/>
  <c r="AB568" s="1"/>
  <c r="AD568" s="1"/>
  <c r="Y568"/>
  <c r="AA568" s="1"/>
  <c r="AC568" s="1"/>
  <c r="AA567"/>
  <c r="R567"/>
  <c r="Z567" s="1"/>
  <c r="P567"/>
  <c r="N567"/>
  <c r="L567"/>
  <c r="K561"/>
  <c r="Z559"/>
  <c r="AB559" s="1"/>
  <c r="Y559"/>
  <c r="AA559" s="1"/>
  <c r="AC559" s="1"/>
  <c r="Z557"/>
  <c r="AB557" s="1"/>
  <c r="Y557"/>
  <c r="AA557" s="1"/>
  <c r="AC557" s="1"/>
  <c r="Z555"/>
  <c r="AB555" s="1"/>
  <c r="Y555"/>
  <c r="AA555" s="1"/>
  <c r="AC555" s="1"/>
  <c r="Z553"/>
  <c r="Y553"/>
  <c r="AA553" s="1"/>
  <c r="AC553" s="1"/>
  <c r="Z551"/>
  <c r="Y551"/>
  <c r="AA551" s="1"/>
  <c r="AC551" s="1"/>
  <c r="Z549"/>
  <c r="Y549"/>
  <c r="AA549" s="1"/>
  <c r="AC549" s="1"/>
  <c r="AC547"/>
  <c r="Z547"/>
  <c r="Y547"/>
  <c r="Z545"/>
  <c r="Y545"/>
  <c r="AA545" s="1"/>
  <c r="AC545" s="1"/>
  <c r="Z543"/>
  <c r="Y543"/>
  <c r="AA543" s="1"/>
  <c r="AC543" s="1"/>
  <c r="Z541"/>
  <c r="Y541"/>
  <c r="AA541" s="1"/>
  <c r="AC541" s="1"/>
  <c r="Y540"/>
  <c r="AA540" s="1"/>
  <c r="AC540" s="1"/>
  <c r="R540"/>
  <c r="Z540" s="1"/>
  <c r="AB540" s="1"/>
  <c r="AD540" s="1"/>
  <c r="Z538"/>
  <c r="AB538" s="1"/>
  <c r="Y538"/>
  <c r="AA538" s="1"/>
  <c r="AC538" s="1"/>
  <c r="Z536"/>
  <c r="Y536"/>
  <c r="AA536" s="1"/>
  <c r="AC536" s="1"/>
  <c r="Z534"/>
  <c r="Y534"/>
  <c r="Y533"/>
  <c r="AA533" s="1"/>
  <c r="AC533" s="1"/>
  <c r="R533"/>
  <c r="Z533" s="1"/>
  <c r="AB533" s="1"/>
  <c r="AD533" s="1"/>
  <c r="Z530"/>
  <c r="Y530"/>
  <c r="AA530" s="1"/>
  <c r="AC530" s="1"/>
  <c r="Z528"/>
  <c r="AB528" s="1"/>
  <c r="Y528"/>
  <c r="AA528" s="1"/>
  <c r="AC528" s="1"/>
  <c r="Z526"/>
  <c r="Y526"/>
  <c r="AA526" s="1"/>
  <c r="AC526" s="1"/>
  <c r="Z524"/>
  <c r="Y524"/>
  <c r="AA524" s="1"/>
  <c r="AC524" s="1"/>
  <c r="Y523"/>
  <c r="AA523" s="1"/>
  <c r="AC523" s="1"/>
  <c r="R523"/>
  <c r="Z523" s="1"/>
  <c r="AB522" s="1"/>
  <c r="AD522" s="1"/>
  <c r="Z520"/>
  <c r="AB520" s="1"/>
  <c r="Y520"/>
  <c r="AA520" s="1"/>
  <c r="AC520" s="1"/>
  <c r="Z517"/>
  <c r="AB517" s="1"/>
  <c r="Y517"/>
  <c r="AA517" s="1"/>
  <c r="AC517" s="1"/>
  <c r="Z515"/>
  <c r="AB515" s="1"/>
  <c r="Y515"/>
  <c r="AA515" s="1"/>
  <c r="AC515" s="1"/>
  <c r="Z513"/>
  <c r="Y513"/>
  <c r="AA513" s="1"/>
  <c r="AC513" s="1"/>
  <c r="AB512"/>
  <c r="Y511"/>
  <c r="AA511" s="1"/>
  <c r="AC511" s="1"/>
  <c r="R511"/>
  <c r="Z511" s="1"/>
  <c r="AB511" s="1"/>
  <c r="AD511" s="1"/>
  <c r="AB510"/>
  <c r="Z508"/>
  <c r="Y508"/>
  <c r="AA508" s="1"/>
  <c r="AC508" s="1"/>
  <c r="R507"/>
  <c r="Z507" s="1"/>
  <c r="Q507"/>
  <c r="Y507" s="1"/>
  <c r="P507"/>
  <c r="O507"/>
  <c r="O561" s="1"/>
  <c r="M507"/>
  <c r="L507"/>
  <c r="Z504"/>
  <c r="AB504" s="1"/>
  <c r="AD504" s="1"/>
  <c r="Y504"/>
  <c r="AA504" s="1"/>
  <c r="AC504" s="1"/>
  <c r="Z502"/>
  <c r="AB502" s="1"/>
  <c r="AD502" s="1"/>
  <c r="Y502"/>
  <c r="AA502" s="1"/>
  <c r="AC502" s="1"/>
  <c r="Z500"/>
  <c r="AB500" s="1"/>
  <c r="AD500" s="1"/>
  <c r="Y500"/>
  <c r="AA500" s="1"/>
  <c r="AC500" s="1"/>
  <c r="Z498"/>
  <c r="AB498" s="1"/>
  <c r="AD498" s="1"/>
  <c r="Y498"/>
  <c r="AA498" s="1"/>
  <c r="AC498" s="1"/>
  <c r="Z496"/>
  <c r="AB496" s="1"/>
  <c r="AD496" s="1"/>
  <c r="Y496"/>
  <c r="AA496" s="1"/>
  <c r="AC496" s="1"/>
  <c r="Z494"/>
  <c r="AB494" s="1"/>
  <c r="AD494" s="1"/>
  <c r="Y494"/>
  <c r="AA494" s="1"/>
  <c r="AC494" s="1"/>
  <c r="Z492"/>
  <c r="AB492" s="1"/>
  <c r="AD492" s="1"/>
  <c r="Y492"/>
  <c r="AA492" s="1"/>
  <c r="AC492" s="1"/>
  <c r="Z490"/>
  <c r="AB490" s="1"/>
  <c r="AD490" s="1"/>
  <c r="Y490"/>
  <c r="AA490" s="1"/>
  <c r="AC490" s="1"/>
  <c r="Z488"/>
  <c r="Y488"/>
  <c r="AA488" s="1"/>
  <c r="AC488" s="1"/>
  <c r="Z486"/>
  <c r="Y486"/>
  <c r="AA486" s="1"/>
  <c r="AC486" s="1"/>
  <c r="AC484"/>
  <c r="Z484"/>
  <c r="Y484"/>
  <c r="AC482"/>
  <c r="Z482"/>
  <c r="Y482"/>
  <c r="AA480"/>
  <c r="AC480" s="1"/>
  <c r="Z480"/>
  <c r="Z478"/>
  <c r="Y478"/>
  <c r="AA478" s="1"/>
  <c r="AC478" s="1"/>
  <c r="Y477"/>
  <c r="AA477" s="1"/>
  <c r="AC477" s="1"/>
  <c r="R477"/>
  <c r="Z477" s="1"/>
  <c r="P477"/>
  <c r="L477"/>
  <c r="Z474"/>
  <c r="Z472"/>
  <c r="Y472"/>
  <c r="AA472" s="1"/>
  <c r="AC472" s="1"/>
  <c r="Z470"/>
  <c r="Y470"/>
  <c r="AA470" s="1"/>
  <c r="AC470" s="1"/>
  <c r="Z468"/>
  <c r="Y468"/>
  <c r="AA468" s="1"/>
  <c r="AC468" s="1"/>
  <c r="Z466"/>
  <c r="Y466"/>
  <c r="AA466" s="1"/>
  <c r="AC466" s="1"/>
  <c r="Z464"/>
  <c r="Y464"/>
  <c r="AA464" s="1"/>
  <c r="AC464" s="1"/>
  <c r="Z462"/>
  <c r="Y462"/>
  <c r="AA462" s="1"/>
  <c r="AC462" s="1"/>
  <c r="Z460"/>
  <c r="Y460"/>
  <c r="AA460" s="1"/>
  <c r="AC460" s="1"/>
  <c r="Z458"/>
  <c r="Y458"/>
  <c r="AA458" s="1"/>
  <c r="AC458" s="1"/>
  <c r="Z456"/>
  <c r="Y456"/>
  <c r="AA456" s="1"/>
  <c r="AC456" s="1"/>
  <c r="Z454"/>
  <c r="Y454"/>
  <c r="AA454" s="1"/>
  <c r="AC454" s="1"/>
  <c r="L451" s="1"/>
  <c r="Z452"/>
  <c r="Y452"/>
  <c r="AA452" s="1"/>
  <c r="AC452" s="1"/>
  <c r="Y451"/>
  <c r="R451"/>
  <c r="Z451" s="1"/>
  <c r="P451"/>
  <c r="Z432"/>
  <c r="AB432" s="1"/>
  <c r="AD432" s="1"/>
  <c r="Y432"/>
  <c r="AA432" s="1"/>
  <c r="AC432" s="1"/>
  <c r="Z431"/>
  <c r="AB431" s="1"/>
  <c r="AD431" s="1"/>
  <c r="Y431"/>
  <c r="AA431" s="1"/>
  <c r="AC431" s="1"/>
  <c r="Z430"/>
  <c r="AB430" s="1"/>
  <c r="AD430" s="1"/>
  <c r="Y430"/>
  <c r="AA430" s="1"/>
  <c r="AC430" s="1"/>
  <c r="Z429"/>
  <c r="AB429" s="1"/>
  <c r="AD429" s="1"/>
  <c r="Y429"/>
  <c r="AA429" s="1"/>
  <c r="AC429" s="1"/>
  <c r="Y428"/>
  <c r="AA428" s="1"/>
  <c r="AC428" s="1"/>
  <c r="R428"/>
  <c r="Z428" s="1"/>
  <c r="P428"/>
  <c r="N428"/>
  <c r="L428"/>
  <c r="AD425"/>
  <c r="Z424"/>
  <c r="Y424"/>
  <c r="Z423"/>
  <c r="Y423"/>
  <c r="N423"/>
  <c r="M423"/>
  <c r="L423"/>
  <c r="Z419"/>
  <c r="AB419" s="1"/>
  <c r="AD419" s="1"/>
  <c r="Y419"/>
  <c r="AA419" s="1"/>
  <c r="AC419" s="1"/>
  <c r="Z418"/>
  <c r="AB418" s="1"/>
  <c r="AD418" s="1"/>
  <c r="Y418"/>
  <c r="AA418" s="1"/>
  <c r="AC418" s="1"/>
  <c r="Z417"/>
  <c r="AB417" s="1"/>
  <c r="AD417" s="1"/>
  <c r="Y417"/>
  <c r="AA417" s="1"/>
  <c r="AC417" s="1"/>
  <c r="Z416"/>
  <c r="Y416"/>
  <c r="AA416" s="1"/>
  <c r="AC416" s="1"/>
  <c r="N416"/>
  <c r="L416"/>
  <c r="AC413"/>
  <c r="AB413"/>
  <c r="AD413" s="1"/>
  <c r="Y413"/>
  <c r="AA412"/>
  <c r="AC412" s="1"/>
  <c r="Z412"/>
  <c r="AB412" s="1"/>
  <c r="AD412" s="1"/>
  <c r="Z411"/>
  <c r="AB411" s="1"/>
  <c r="AD411" s="1"/>
  <c r="Y411"/>
  <c r="AA411" s="1"/>
  <c r="AC411" s="1"/>
  <c r="AC414" s="1"/>
  <c r="R410"/>
  <c r="Z410" s="1"/>
  <c r="Q410"/>
  <c r="Y410" s="1"/>
  <c r="AA410" s="1"/>
  <c r="AC410" s="1"/>
  <c r="P410"/>
  <c r="N410"/>
  <c r="L410"/>
  <c r="Z407"/>
  <c r="AB407" s="1"/>
  <c r="AD407" s="1"/>
  <c r="Y407"/>
  <c r="AA407" s="1"/>
  <c r="AC407" s="1"/>
  <c r="Z406"/>
  <c r="AB406" s="1"/>
  <c r="AD406" s="1"/>
  <c r="Y406"/>
  <c r="AA406" s="1"/>
  <c r="AC406" s="1"/>
  <c r="Z405"/>
  <c r="AB405" s="1"/>
  <c r="AD405" s="1"/>
  <c r="AD414" s="1"/>
  <c r="Y405"/>
  <c r="AA405" s="1"/>
  <c r="AC405" s="1"/>
  <c r="Z404"/>
  <c r="AB404" s="1"/>
  <c r="AD404" s="1"/>
  <c r="Y404"/>
  <c r="AA404" s="1"/>
  <c r="AC404" s="1"/>
  <c r="Z403"/>
  <c r="AB403" s="1"/>
  <c r="AD403" s="1"/>
  <c r="Y403"/>
  <c r="AA403" s="1"/>
  <c r="AC403" s="1"/>
  <c r="Z402"/>
  <c r="AB402" s="1"/>
  <c r="AD402" s="1"/>
  <c r="Y402"/>
  <c r="AA402" s="1"/>
  <c r="AC402" s="1"/>
  <c r="Z401"/>
  <c r="AB401" s="1"/>
  <c r="AD401" s="1"/>
  <c r="Y401"/>
  <c r="AA401" s="1"/>
  <c r="AC401" s="1"/>
  <c r="Z400"/>
  <c r="AB400" s="1"/>
  <c r="AD400" s="1"/>
  <c r="Y400"/>
  <c r="AA400" s="1"/>
  <c r="AC400" s="1"/>
  <c r="Z399"/>
  <c r="AB399" s="1"/>
  <c r="AD399" s="1"/>
  <c r="Y399"/>
  <c r="AA399" s="1"/>
  <c r="AC399" s="1"/>
  <c r="Y398"/>
  <c r="AA398" s="1"/>
  <c r="AC398" s="1"/>
  <c r="R398"/>
  <c r="Z398" s="1"/>
  <c r="P398"/>
  <c r="N398"/>
  <c r="L398"/>
  <c r="Z395"/>
  <c r="AB395" s="1"/>
  <c r="AD395" s="1"/>
  <c r="Y395"/>
  <c r="AA395" s="1"/>
  <c r="AC395" s="1"/>
  <c r="Z394"/>
  <c r="AB394" s="1"/>
  <c r="AD394" s="1"/>
  <c r="Y394"/>
  <c r="AA394" s="1"/>
  <c r="AC394" s="1"/>
  <c r="Z393"/>
  <c r="AB393" s="1"/>
  <c r="AD393" s="1"/>
  <c r="Y393"/>
  <c r="AA393" s="1"/>
  <c r="AC393" s="1"/>
  <c r="Z392"/>
  <c r="AB392" s="1"/>
  <c r="AD392" s="1"/>
  <c r="Y392"/>
  <c r="AA392" s="1"/>
  <c r="AC392" s="1"/>
  <c r="Z391"/>
  <c r="AB391" s="1"/>
  <c r="AD391" s="1"/>
  <c r="Y391"/>
  <c r="AA391" s="1"/>
  <c r="AC391" s="1"/>
  <c r="Y390"/>
  <c r="AA390" s="1"/>
  <c r="AC390" s="1"/>
  <c r="R390"/>
  <c r="Z390" s="1"/>
  <c r="P390"/>
  <c r="N390"/>
  <c r="L390"/>
  <c r="Z387"/>
  <c r="AB387" s="1"/>
  <c r="AD387" s="1"/>
  <c r="Q387"/>
  <c r="Y386"/>
  <c r="R386"/>
  <c r="Z386" s="1"/>
  <c r="P386"/>
  <c r="N386"/>
  <c r="L386"/>
  <c r="Z383"/>
  <c r="AB383" s="1"/>
  <c r="AD383" s="1"/>
  <c r="Y383"/>
  <c r="AA383" s="1"/>
  <c r="AC383" s="1"/>
  <c r="AC384" s="1"/>
  <c r="N382"/>
  <c r="L382"/>
  <c r="K382"/>
  <c r="Z378"/>
  <c r="AB378" s="1"/>
  <c r="AD378" s="1"/>
  <c r="Y378"/>
  <c r="AA378" s="1"/>
  <c r="AC378" s="1"/>
  <c r="Z377"/>
  <c r="AB377" s="1"/>
  <c r="AD377" s="1"/>
  <c r="Y377"/>
  <c r="AA377" s="1"/>
  <c r="AC377" s="1"/>
  <c r="Z376"/>
  <c r="AB376" s="1"/>
  <c r="AD376" s="1"/>
  <c r="Y376"/>
  <c r="AA376" s="1"/>
  <c r="AC376" s="1"/>
  <c r="Z375"/>
  <c r="AB375" s="1"/>
  <c r="AD375" s="1"/>
  <c r="Y375"/>
  <c r="AA375" s="1"/>
  <c r="AC375" s="1"/>
  <c r="R374"/>
  <c r="Z374" s="1"/>
  <c r="Q374"/>
  <c r="Y374" s="1"/>
  <c r="AA374" s="1"/>
  <c r="AC374" s="1"/>
  <c r="P374"/>
  <c r="N374"/>
  <c r="L374"/>
  <c r="AB371"/>
  <c r="AD371" s="1"/>
  <c r="Z371"/>
  <c r="Y371"/>
  <c r="AA371" s="1"/>
  <c r="AC371" s="1"/>
  <c r="Z370"/>
  <c r="AB370" s="1"/>
  <c r="AD370" s="1"/>
  <c r="Y370"/>
  <c r="AA370" s="1"/>
  <c r="AC370" s="1"/>
  <c r="Z369"/>
  <c r="AB369" s="1"/>
  <c r="AD369" s="1"/>
  <c r="Y369"/>
  <c r="AA369" s="1"/>
  <c r="AC369" s="1"/>
  <c r="Z368"/>
  <c r="AB368" s="1"/>
  <c r="AD368" s="1"/>
  <c r="Y368"/>
  <c r="AA368" s="1"/>
  <c r="AC368" s="1"/>
  <c r="AA367"/>
  <c r="AC367" s="1"/>
  <c r="Z367"/>
  <c r="AB367" s="1"/>
  <c r="AD367" s="1"/>
  <c r="Z366"/>
  <c r="AB366" s="1"/>
  <c r="AD366" s="1"/>
  <c r="Y366"/>
  <c r="AA366" s="1"/>
  <c r="AC366" s="1"/>
  <c r="Z365"/>
  <c r="AB365" s="1"/>
  <c r="AD365" s="1"/>
  <c r="Y365"/>
  <c r="AA365" s="1"/>
  <c r="AC365" s="1"/>
  <c r="AB364"/>
  <c r="AD364" s="1"/>
  <c r="Z364"/>
  <c r="Y364"/>
  <c r="AA364" s="1"/>
  <c r="AC364" s="1"/>
  <c r="AB363"/>
  <c r="AD363" s="1"/>
  <c r="AA363"/>
  <c r="AC363" s="1"/>
  <c r="Z363"/>
  <c r="Z362"/>
  <c r="AB362" s="1"/>
  <c r="AD362" s="1"/>
  <c r="Y362"/>
  <c r="AA362" s="1"/>
  <c r="AC362" s="1"/>
  <c r="Z361"/>
  <c r="AB361" s="1"/>
  <c r="AD361" s="1"/>
  <c r="Y361"/>
  <c r="AA361" s="1"/>
  <c r="AC361" s="1"/>
  <c r="Z360"/>
  <c r="AB360" s="1"/>
  <c r="AD360" s="1"/>
  <c r="Y360"/>
  <c r="AA360" s="1"/>
  <c r="AC360" s="1"/>
  <c r="Z359"/>
  <c r="AB359" s="1"/>
  <c r="AD359" s="1"/>
  <c r="Y359"/>
  <c r="AA359" s="1"/>
  <c r="AC359" s="1"/>
  <c r="Z358"/>
  <c r="AB358" s="1"/>
  <c r="AD358" s="1"/>
  <c r="Y358"/>
  <c r="AA358" s="1"/>
  <c r="AC358" s="1"/>
  <c r="Z357"/>
  <c r="AB357" s="1"/>
  <c r="AD357" s="1"/>
  <c r="Y357"/>
  <c r="AA357" s="1"/>
  <c r="AC357" s="1"/>
  <c r="Z356"/>
  <c r="AB356" s="1"/>
  <c r="AD356" s="1"/>
  <c r="Y356"/>
  <c r="AA356" s="1"/>
  <c r="AC356" s="1"/>
  <c r="Z355"/>
  <c r="AB355" s="1"/>
  <c r="AD355" s="1"/>
  <c r="Y355"/>
  <c r="AA355" s="1"/>
  <c r="AC355" s="1"/>
  <c r="Z354"/>
  <c r="AB354" s="1"/>
  <c r="AD354" s="1"/>
  <c r="Y354"/>
  <c r="AA354" s="1"/>
  <c r="AC354" s="1"/>
  <c r="Z353"/>
  <c r="AB353" s="1"/>
  <c r="AD353" s="1"/>
  <c r="Y353"/>
  <c r="AA353" s="1"/>
  <c r="AC353" s="1"/>
  <c r="Z352"/>
  <c r="AB352" s="1"/>
  <c r="AD352" s="1"/>
  <c r="Y352"/>
  <c r="AA352" s="1"/>
  <c r="AC352" s="1"/>
  <c r="Z351"/>
  <c r="AB351" s="1"/>
  <c r="AD351" s="1"/>
  <c r="Y351"/>
  <c r="AA351" s="1"/>
  <c r="AC351" s="1"/>
  <c r="Z350"/>
  <c r="AB350" s="1"/>
  <c r="AD350" s="1"/>
  <c r="Y350"/>
  <c r="AA350" s="1"/>
  <c r="AC350" s="1"/>
  <c r="Z349"/>
  <c r="AB349" s="1"/>
  <c r="AD349" s="1"/>
  <c r="Y349"/>
  <c r="AA349" s="1"/>
  <c r="AC349" s="1"/>
  <c r="Z348"/>
  <c r="AB348" s="1"/>
  <c r="AD348" s="1"/>
  <c r="Y348"/>
  <c r="AA348" s="1"/>
  <c r="AC348" s="1"/>
  <c r="Z347"/>
  <c r="AB347" s="1"/>
  <c r="AD347" s="1"/>
  <c r="Y347"/>
  <c r="AA347" s="1"/>
  <c r="AC347" s="1"/>
  <c r="Z346"/>
  <c r="AB346" s="1"/>
  <c r="AD346" s="1"/>
  <c r="Y346"/>
  <c r="AA346" s="1"/>
  <c r="AC346" s="1"/>
  <c r="Z345"/>
  <c r="AB345" s="1"/>
  <c r="AD345" s="1"/>
  <c r="Y345"/>
  <c r="AA345" s="1"/>
  <c r="AC345" s="1"/>
  <c r="Z344"/>
  <c r="AB344" s="1"/>
  <c r="AD344" s="1"/>
  <c r="Y344"/>
  <c r="AA344" s="1"/>
  <c r="AC344" s="1"/>
  <c r="Z343"/>
  <c r="AB343" s="1"/>
  <c r="AD343" s="1"/>
  <c r="Y343"/>
  <c r="AA343" s="1"/>
  <c r="AC343" s="1"/>
  <c r="Z342"/>
  <c r="AB342" s="1"/>
  <c r="AD342" s="1"/>
  <c r="Y342"/>
  <c r="AA342" s="1"/>
  <c r="AC342" s="1"/>
  <c r="Z341"/>
  <c r="AB341" s="1"/>
  <c r="AD341" s="1"/>
  <c r="Y341"/>
  <c r="AA341" s="1"/>
  <c r="AC341" s="1"/>
  <c r="Z340"/>
  <c r="AB340" s="1"/>
  <c r="AD340" s="1"/>
  <c r="Y340"/>
  <c r="AA340" s="1"/>
  <c r="AC340" s="1"/>
  <c r="Z339"/>
  <c r="AB339" s="1"/>
  <c r="AD339" s="1"/>
  <c r="Y339"/>
  <c r="AA339" s="1"/>
  <c r="AC339" s="1"/>
  <c r="Z338"/>
  <c r="AB338" s="1"/>
  <c r="AD338" s="1"/>
  <c r="Y338"/>
  <c r="AA338" s="1"/>
  <c r="AC338" s="1"/>
  <c r="Z337"/>
  <c r="AB337" s="1"/>
  <c r="AD337" s="1"/>
  <c r="Y337"/>
  <c r="AA337" s="1"/>
  <c r="AC337" s="1"/>
  <c r="Z336"/>
  <c r="AB336" s="1"/>
  <c r="AD336" s="1"/>
  <c r="Y336"/>
  <c r="AA336" s="1"/>
  <c r="AC336" s="1"/>
  <c r="AA335"/>
  <c r="AC335" s="1"/>
  <c r="Z335"/>
  <c r="AB335" s="1"/>
  <c r="AD335" s="1"/>
  <c r="Z334"/>
  <c r="AB334" s="1"/>
  <c r="AD334" s="1"/>
  <c r="Y334"/>
  <c r="AA334" s="1"/>
  <c r="AC334" s="1"/>
  <c r="Z333"/>
  <c r="AB333" s="1"/>
  <c r="AD333" s="1"/>
  <c r="Y333"/>
  <c r="AA333" s="1"/>
  <c r="AC333" s="1"/>
  <c r="Z332"/>
  <c r="AB332" s="1"/>
  <c r="AD332" s="1"/>
  <c r="Y332"/>
  <c r="AA332" s="1"/>
  <c r="AC332" s="1"/>
  <c r="Z331"/>
  <c r="AB331" s="1"/>
  <c r="AD331" s="1"/>
  <c r="Y331"/>
  <c r="AA331" s="1"/>
  <c r="AC331" s="1"/>
  <c r="Z330"/>
  <c r="AB330" s="1"/>
  <c r="AD330" s="1"/>
  <c r="Y330"/>
  <c r="AA330" s="1"/>
  <c r="AC330" s="1"/>
  <c r="Z329"/>
  <c r="AB329" s="1"/>
  <c r="AD329" s="1"/>
  <c r="Y329"/>
  <c r="AA329" s="1"/>
  <c r="AC329" s="1"/>
  <c r="Z328"/>
  <c r="AB328" s="1"/>
  <c r="AD328" s="1"/>
  <c r="Y328"/>
  <c r="AA328" s="1"/>
  <c r="AC328" s="1"/>
  <c r="Z327"/>
  <c r="AB327" s="1"/>
  <c r="AD327" s="1"/>
  <c r="Y327"/>
  <c r="AA327" s="1"/>
  <c r="AC327" s="1"/>
  <c r="Y326"/>
  <c r="AA326" s="1"/>
  <c r="AC326" s="1"/>
  <c r="R326"/>
  <c r="Z326" s="1"/>
  <c r="P326"/>
  <c r="N326"/>
  <c r="L326"/>
  <c r="Z324"/>
  <c r="AB324" s="1"/>
  <c r="AD324" s="1"/>
  <c r="Y324"/>
  <c r="AA324" s="1"/>
  <c r="AC324" s="1"/>
  <c r="Z323"/>
  <c r="AB323" s="1"/>
  <c r="AD323" s="1"/>
  <c r="Y323"/>
  <c r="AA323" s="1"/>
  <c r="AC323" s="1"/>
  <c r="Y322"/>
  <c r="AA322" s="1"/>
  <c r="AC322" s="1"/>
  <c r="R322"/>
  <c r="Z322" s="1"/>
  <c r="P322"/>
  <c r="N322"/>
  <c r="L322"/>
  <c r="Z319"/>
  <c r="AB319" s="1"/>
  <c r="AD319" s="1"/>
  <c r="Y319"/>
  <c r="AA319" s="1"/>
  <c r="AC319" s="1"/>
  <c r="Z318"/>
  <c r="AB318" s="1"/>
  <c r="AD318" s="1"/>
  <c r="Y318"/>
  <c r="AA318" s="1"/>
  <c r="AC318" s="1"/>
  <c r="Z317"/>
  <c r="AB317" s="1"/>
  <c r="AD317" s="1"/>
  <c r="Y317"/>
  <c r="AA317" s="1"/>
  <c r="AC317" s="1"/>
  <c r="Z316"/>
  <c r="AB316" s="1"/>
  <c r="AD316" s="1"/>
  <c r="Y316"/>
  <c r="AA316" s="1"/>
  <c r="AC316" s="1"/>
  <c r="Y315"/>
  <c r="AA315" s="1"/>
  <c r="AC315" s="1"/>
  <c r="R315"/>
  <c r="Z315" s="1"/>
  <c r="P315"/>
  <c r="N315"/>
  <c r="L315"/>
  <c r="Z311"/>
  <c r="AB311" s="1"/>
  <c r="AD311" s="1"/>
  <c r="Y311"/>
  <c r="AA311" s="1"/>
  <c r="AC311" s="1"/>
  <c r="Z310"/>
  <c r="AB310" s="1"/>
  <c r="AD310" s="1"/>
  <c r="Y310"/>
  <c r="AA310" s="1"/>
  <c r="AC310" s="1"/>
  <c r="Z309"/>
  <c r="AB309" s="1"/>
  <c r="AD309" s="1"/>
  <c r="Y309"/>
  <c r="AA309" s="1"/>
  <c r="AC309" s="1"/>
  <c r="Z308"/>
  <c r="AB308" s="1"/>
  <c r="AD308" s="1"/>
  <c r="Y308"/>
  <c r="AA308" s="1"/>
  <c r="AC308" s="1"/>
  <c r="Z307"/>
  <c r="AB307" s="1"/>
  <c r="AD307" s="1"/>
  <c r="Y307"/>
  <c r="AA307" s="1"/>
  <c r="AC307" s="1"/>
  <c r="Z306"/>
  <c r="AB306" s="1"/>
  <c r="AD306" s="1"/>
  <c r="Y306"/>
  <c r="AA306" s="1"/>
  <c r="AC306" s="1"/>
  <c r="Z305"/>
  <c r="AB305" s="1"/>
  <c r="AD305" s="1"/>
  <c r="Y305"/>
  <c r="AA305" s="1"/>
  <c r="AC305" s="1"/>
  <c r="Z304"/>
  <c r="AB304" s="1"/>
  <c r="AD304" s="1"/>
  <c r="Y304"/>
  <c r="AA304" s="1"/>
  <c r="AC304" s="1"/>
  <c r="Z303"/>
  <c r="AB303" s="1"/>
  <c r="AD303" s="1"/>
  <c r="Y303"/>
  <c r="AA303" s="1"/>
  <c r="AC303" s="1"/>
  <c r="R302"/>
  <c r="Z302" s="1"/>
  <c r="Q302"/>
  <c r="Y302" s="1"/>
  <c r="AA302" s="1"/>
  <c r="AC302" s="1"/>
  <c r="P302"/>
  <c r="N302"/>
  <c r="L302"/>
  <c r="AB298"/>
  <c r="AD298" s="1"/>
  <c r="Z298"/>
  <c r="Y298"/>
  <c r="AA298" s="1"/>
  <c r="AC298" s="1"/>
  <c r="Z297"/>
  <c r="AB297" s="1"/>
  <c r="AD297" s="1"/>
  <c r="Y297"/>
  <c r="AA297" s="1"/>
  <c r="AC297" s="1"/>
  <c r="Z296"/>
  <c r="AB296" s="1"/>
  <c r="AD296" s="1"/>
  <c r="Y296"/>
  <c r="AA296" s="1"/>
  <c r="AC296" s="1"/>
  <c r="Z295"/>
  <c r="AB295" s="1"/>
  <c r="AD295" s="1"/>
  <c r="Y295"/>
  <c r="AA295" s="1"/>
  <c r="AC295" s="1"/>
  <c r="Z294"/>
  <c r="AB294" s="1"/>
  <c r="AD294" s="1"/>
  <c r="Y294"/>
  <c r="AA294" s="1"/>
  <c r="AC294" s="1"/>
  <c r="Z293"/>
  <c r="AB293" s="1"/>
  <c r="AD293" s="1"/>
  <c r="Y293"/>
  <c r="AA293" s="1"/>
  <c r="AC293" s="1"/>
  <c r="Z292"/>
  <c r="AB292" s="1"/>
  <c r="AD292" s="1"/>
  <c r="Y292"/>
  <c r="AA292" s="1"/>
  <c r="AC292" s="1"/>
  <c r="Y291"/>
  <c r="AA291" s="1"/>
  <c r="AC291" s="1"/>
  <c r="R291"/>
  <c r="Z291" s="1"/>
  <c r="P291"/>
  <c r="N291"/>
  <c r="L291"/>
  <c r="Z287"/>
  <c r="AB287" s="1"/>
  <c r="AD287" s="1"/>
  <c r="Y287"/>
  <c r="AA287" s="1"/>
  <c r="AC287" s="1"/>
  <c r="Z285"/>
  <c r="AB285" s="1"/>
  <c r="AD285" s="1"/>
  <c r="Y285"/>
  <c r="AA285" s="1"/>
  <c r="AC285" s="1"/>
  <c r="Z284"/>
  <c r="AB284" s="1"/>
  <c r="AD284" s="1"/>
  <c r="Y284"/>
  <c r="AA284" s="1"/>
  <c r="AC284" s="1"/>
  <c r="Z283"/>
  <c r="AB283" s="1"/>
  <c r="AD283" s="1"/>
  <c r="Y283"/>
  <c r="AA283" s="1"/>
  <c r="AC283" s="1"/>
  <c r="Y282"/>
  <c r="AA282" s="1"/>
  <c r="AC282" s="1"/>
  <c r="R282"/>
  <c r="Z282" s="1"/>
  <c r="P282"/>
  <c r="N282"/>
  <c r="L282"/>
  <c r="Z278"/>
  <c r="AB278" s="1"/>
  <c r="AD278" s="1"/>
  <c r="M278"/>
  <c r="AA278" s="1"/>
  <c r="AC278" s="1"/>
  <c r="Z277"/>
  <c r="AB277" s="1"/>
  <c r="AD277" s="1"/>
  <c r="M277"/>
  <c r="AA277" s="1"/>
  <c r="AC277" s="1"/>
  <c r="AB276"/>
  <c r="AD276" s="1"/>
  <c r="AA276"/>
  <c r="AC276" s="1"/>
  <c r="AB275"/>
  <c r="AD275" s="1"/>
  <c r="AA275"/>
  <c r="AC275" s="1"/>
  <c r="AB274"/>
  <c r="AD274" s="1"/>
  <c r="AA274"/>
  <c r="AC274" s="1"/>
  <c r="AA273"/>
  <c r="AC273" s="1"/>
  <c r="R273"/>
  <c r="P273"/>
  <c r="N273"/>
  <c r="AB273" s="1"/>
  <c r="L273"/>
  <c r="Z270"/>
  <c r="AB270" s="1"/>
  <c r="AD270" s="1"/>
  <c r="Y270"/>
  <c r="AA270" s="1"/>
  <c r="AC270" s="1"/>
  <c r="Z269"/>
  <c r="AB269" s="1"/>
  <c r="AD269" s="1"/>
  <c r="Y269"/>
  <c r="AA269" s="1"/>
  <c r="AC269" s="1"/>
  <c r="Z268"/>
  <c r="AB268" s="1"/>
  <c r="AD268" s="1"/>
  <c r="Y268"/>
  <c r="AA268" s="1"/>
  <c r="AC268" s="1"/>
  <c r="Z267"/>
  <c r="AB267" s="1"/>
  <c r="AD267" s="1"/>
  <c r="Y267"/>
  <c r="AA267" s="1"/>
  <c r="AC267" s="1"/>
  <c r="Z266"/>
  <c r="AB266" s="1"/>
  <c r="AD266" s="1"/>
  <c r="Y266"/>
  <c r="AA266" s="1"/>
  <c r="AC266" s="1"/>
  <c r="Z265"/>
  <c r="Y265"/>
  <c r="AA265" s="1"/>
  <c r="AC265" s="1"/>
  <c r="P265"/>
  <c r="N265"/>
  <c r="L265"/>
  <c r="Z262"/>
  <c r="AB262" s="1"/>
  <c r="AD262" s="1"/>
  <c r="Y262"/>
  <c r="AA262" s="1"/>
  <c r="AC262" s="1"/>
  <c r="AC263" s="1"/>
  <c r="R261"/>
  <c r="Z261" s="1"/>
  <c r="Q261"/>
  <c r="Y261" s="1"/>
  <c r="P261"/>
  <c r="N261"/>
  <c r="M261"/>
  <c r="L261"/>
  <c r="AB258"/>
  <c r="AD258" s="1"/>
  <c r="AA258"/>
  <c r="AC258" s="1"/>
  <c r="AC259" s="1"/>
  <c r="AA257"/>
  <c r="AC257" s="1"/>
  <c r="N257"/>
  <c r="AB257" s="1"/>
  <c r="L257"/>
  <c r="AB254"/>
  <c r="AD254" s="1"/>
  <c r="Z254"/>
  <c r="Y254"/>
  <c r="AA254" s="1"/>
  <c r="AC254" s="1"/>
  <c r="Z253"/>
  <c r="AB253" s="1"/>
  <c r="AD253" s="1"/>
  <c r="Y253"/>
  <c r="AA253" s="1"/>
  <c r="AC253" s="1"/>
  <c r="AC252"/>
  <c r="AB252"/>
  <c r="AD252" s="1"/>
  <c r="AC251"/>
  <c r="AB251"/>
  <c r="AD251" s="1"/>
  <c r="AC250"/>
  <c r="AB250"/>
  <c r="AD250" s="1"/>
  <c r="AC249"/>
  <c r="AB249"/>
  <c r="AD249" s="1"/>
  <c r="AC248"/>
  <c r="AB248"/>
  <c r="AD248" s="1"/>
  <c r="AC247"/>
  <c r="AB247"/>
  <c r="AD247" s="1"/>
  <c r="AC246"/>
  <c r="AB246"/>
  <c r="AD246" s="1"/>
  <c r="AC245"/>
  <c r="AB245"/>
  <c r="AD245" s="1"/>
  <c r="AC244"/>
  <c r="AB244"/>
  <c r="AD244" s="1"/>
  <c r="AB243"/>
  <c r="AD243" s="1"/>
  <c r="AA243"/>
  <c r="AC243" s="1"/>
  <c r="AB242"/>
  <c r="AD242" s="1"/>
  <c r="AA242"/>
  <c r="AC242" s="1"/>
  <c r="AB241"/>
  <c r="AD241" s="1"/>
  <c r="AA241"/>
  <c r="AC241" s="1"/>
  <c r="AB240"/>
  <c r="AD240" s="1"/>
  <c r="AA240"/>
  <c r="AC240" s="1"/>
  <c r="AB239"/>
  <c r="AD239" s="1"/>
  <c r="AA239"/>
  <c r="AC239" s="1"/>
  <c r="Z238"/>
  <c r="AB238" s="1"/>
  <c r="AD238" s="1"/>
  <c r="Y238"/>
  <c r="AA238" s="1"/>
  <c r="AC238" s="1"/>
  <c r="Z237"/>
  <c r="AB237" s="1"/>
  <c r="AD237" s="1"/>
  <c r="Y237"/>
  <c r="AA237" s="1"/>
  <c r="AC237" s="1"/>
  <c r="Y236"/>
  <c r="AA236" s="1"/>
  <c r="AC236" s="1"/>
  <c r="R236"/>
  <c r="Z236" s="1"/>
  <c r="P236"/>
  <c r="N236"/>
  <c r="L236"/>
  <c r="Z232"/>
  <c r="AB232" s="1"/>
  <c r="AD232" s="1"/>
  <c r="Y232"/>
  <c r="AA232" s="1"/>
  <c r="AC232" s="1"/>
  <c r="Z231"/>
  <c r="AB231" s="1"/>
  <c r="AD231" s="1"/>
  <c r="Y231"/>
  <c r="AA231" s="1"/>
  <c r="AC231" s="1"/>
  <c r="Z230"/>
  <c r="AB230" s="1"/>
  <c r="AD230" s="1"/>
  <c r="Y230"/>
  <c r="AA230" s="1"/>
  <c r="AC230" s="1"/>
  <c r="Z229"/>
  <c r="AB229" s="1"/>
  <c r="AD229" s="1"/>
  <c r="Y229"/>
  <c r="AA229" s="1"/>
  <c r="AC229" s="1"/>
  <c r="Z228"/>
  <c r="AB228" s="1"/>
  <c r="AD228" s="1"/>
  <c r="Y228"/>
  <c r="AA228" s="1"/>
  <c r="AC228" s="1"/>
  <c r="Z227"/>
  <c r="AB227" s="1"/>
  <c r="AD227" s="1"/>
  <c r="Y227"/>
  <c r="AA227" s="1"/>
  <c r="AC227" s="1"/>
  <c r="Z226"/>
  <c r="AB226" s="1"/>
  <c r="AD226" s="1"/>
  <c r="Y226"/>
  <c r="AA226" s="1"/>
  <c r="AC226" s="1"/>
  <c r="Z225"/>
  <c r="AB225" s="1"/>
  <c r="AD225" s="1"/>
  <c r="Y225"/>
  <c r="AA225" s="1"/>
  <c r="AC225" s="1"/>
  <c r="Z224"/>
  <c r="AB224" s="1"/>
  <c r="AD224" s="1"/>
  <c r="Y224"/>
  <c r="AA224" s="1"/>
  <c r="AC224" s="1"/>
  <c r="Z223"/>
  <c r="AB223" s="1"/>
  <c r="AD223" s="1"/>
  <c r="Y223"/>
  <c r="AA223" s="1"/>
  <c r="AC223" s="1"/>
  <c r="AA222"/>
  <c r="AC222" s="1"/>
  <c r="Z222"/>
  <c r="AB222" s="1"/>
  <c r="AD222" s="1"/>
  <c r="Y222"/>
  <c r="R221"/>
  <c r="Z221" s="1"/>
  <c r="Q221"/>
  <c r="Y221" s="1"/>
  <c r="AA221" s="1"/>
  <c r="AC221" s="1"/>
  <c r="P221"/>
  <c r="N221"/>
  <c r="L221"/>
  <c r="Z216"/>
  <c r="Y216"/>
  <c r="Y215" s="1"/>
  <c r="M216"/>
  <c r="O216" s="1"/>
  <c r="O215" s="1"/>
  <c r="L216"/>
  <c r="X215"/>
  <c r="V215"/>
  <c r="U215"/>
  <c r="T215"/>
  <c r="S215"/>
  <c r="R215"/>
  <c r="Q215"/>
  <c r="P215"/>
  <c r="AA214"/>
  <c r="AC214" s="1"/>
  <c r="Z214"/>
  <c r="AB214" s="1"/>
  <c r="AD214" s="1"/>
  <c r="Y214"/>
  <c r="O214"/>
  <c r="Z213"/>
  <c r="Y213"/>
  <c r="M213"/>
  <c r="Z212"/>
  <c r="Y212"/>
  <c r="M212"/>
  <c r="O212" s="1"/>
  <c r="Z211"/>
  <c r="Y211"/>
  <c r="M211"/>
  <c r="O211" s="1"/>
  <c r="Y210"/>
  <c r="X210"/>
  <c r="V210"/>
  <c r="T210"/>
  <c r="R210"/>
  <c r="Q210"/>
  <c r="P210"/>
  <c r="Z208"/>
  <c r="Y208"/>
  <c r="M208"/>
  <c r="O208" s="1"/>
  <c r="Z207"/>
  <c r="Y207"/>
  <c r="M207"/>
  <c r="O207" s="1"/>
  <c r="Z206"/>
  <c r="Y206"/>
  <c r="M206"/>
  <c r="Y205"/>
  <c r="X205"/>
  <c r="V205"/>
  <c r="T205"/>
  <c r="R205"/>
  <c r="P205"/>
  <c r="K205"/>
  <c r="Z204"/>
  <c r="Y204"/>
  <c r="Y203" s="1"/>
  <c r="AA203" s="1"/>
  <c r="N203" s="1"/>
  <c r="M204"/>
  <c r="O204" s="1"/>
  <c r="O203" s="1"/>
  <c r="X203"/>
  <c r="V203"/>
  <c r="U203"/>
  <c r="T203"/>
  <c r="R203"/>
  <c r="Q203"/>
  <c r="P203"/>
  <c r="M203"/>
  <c r="L203"/>
  <c r="K203"/>
  <c r="Z202"/>
  <c r="Y202"/>
  <c r="O202"/>
  <c r="M202"/>
  <c r="Z201"/>
  <c r="Y201"/>
  <c r="O201"/>
  <c r="M201"/>
  <c r="Z200"/>
  <c r="Y200"/>
  <c r="O200"/>
  <c r="M200"/>
  <c r="Z199"/>
  <c r="Y199"/>
  <c r="M199"/>
  <c r="T198"/>
  <c r="R198"/>
  <c r="Q198"/>
  <c r="Y198" s="1"/>
  <c r="M198"/>
  <c r="Z197"/>
  <c r="AB197" s="1"/>
  <c r="AD197" s="1"/>
  <c r="Y197"/>
  <c r="M197"/>
  <c r="Z196"/>
  <c r="Y196"/>
  <c r="M196"/>
  <c r="O196" s="1"/>
  <c r="Z195"/>
  <c r="Y195"/>
  <c r="M195"/>
  <c r="O195" s="1"/>
  <c r="Z194"/>
  <c r="AB194" s="1"/>
  <c r="AD194" s="1"/>
  <c r="Y194"/>
  <c r="M194"/>
  <c r="O194" s="1"/>
  <c r="Z193"/>
  <c r="Y193"/>
  <c r="M193"/>
  <c r="O193" s="1"/>
  <c r="Z192"/>
  <c r="Y192"/>
  <c r="M192"/>
  <c r="O192" s="1"/>
  <c r="Z191"/>
  <c r="Y191"/>
  <c r="M191"/>
  <c r="O191" s="1"/>
  <c r="X190"/>
  <c r="V190"/>
  <c r="T190"/>
  <c r="R190"/>
  <c r="Q190"/>
  <c r="Y190" s="1"/>
  <c r="M190"/>
  <c r="O190" s="1"/>
  <c r="Z189"/>
  <c r="Y189"/>
  <c r="AA189" s="1"/>
  <c r="AC189" s="1"/>
  <c r="M189"/>
  <c r="O189" s="1"/>
  <c r="Z188"/>
  <c r="Y188"/>
  <c r="M188"/>
  <c r="Z187"/>
  <c r="Y187"/>
  <c r="M187"/>
  <c r="O187" s="1"/>
  <c r="Z186"/>
  <c r="Y186"/>
  <c r="AA186" s="1"/>
  <c r="AC186" s="1"/>
  <c r="M186"/>
  <c r="O186" s="1"/>
  <c r="Z185"/>
  <c r="Y185"/>
  <c r="M185"/>
  <c r="O185" s="1"/>
  <c r="Y184"/>
  <c r="X184"/>
  <c r="V184"/>
  <c r="T184"/>
  <c r="R184"/>
  <c r="M184"/>
  <c r="O184" s="1"/>
  <c r="AD183"/>
  <c r="AC183"/>
  <c r="Z183"/>
  <c r="Y183"/>
  <c r="M183"/>
  <c r="O183" s="1"/>
  <c r="Z182"/>
  <c r="Y182"/>
  <c r="M182"/>
  <c r="O182" s="1"/>
  <c r="Z181"/>
  <c r="Y181"/>
  <c r="M181"/>
  <c r="O181" s="1"/>
  <c r="Z180"/>
  <c r="Y180"/>
  <c r="M180"/>
  <c r="O180" s="1"/>
  <c r="Z179"/>
  <c r="Y179"/>
  <c r="M179"/>
  <c r="O179" s="1"/>
  <c r="Z178"/>
  <c r="Y178"/>
  <c r="M178"/>
  <c r="O178" s="1"/>
  <c r="Z177"/>
  <c r="Y177"/>
  <c r="M177"/>
  <c r="O177" s="1"/>
  <c r="X176"/>
  <c r="V176"/>
  <c r="T176"/>
  <c r="R176"/>
  <c r="Q176"/>
  <c r="Y176" s="1"/>
  <c r="K176"/>
  <c r="M176" s="1"/>
  <c r="O176" s="1"/>
  <c r="Z175"/>
  <c r="AB175" s="1"/>
  <c r="AD175" s="1"/>
  <c r="Y175"/>
  <c r="M175"/>
  <c r="O175" s="1"/>
  <c r="Z174"/>
  <c r="AB174" s="1"/>
  <c r="AD174" s="1"/>
  <c r="Y174"/>
  <c r="M174"/>
  <c r="O174" s="1"/>
  <c r="AC173"/>
  <c r="Z173"/>
  <c r="Y173"/>
  <c r="M173"/>
  <c r="O173" s="1"/>
  <c r="Z171"/>
  <c r="Y171"/>
  <c r="M171"/>
  <c r="O171" s="1"/>
  <c r="Z169"/>
  <c r="Y169"/>
  <c r="M169"/>
  <c r="Z168"/>
  <c r="Y168"/>
  <c r="M168"/>
  <c r="O168" s="1"/>
  <c r="AB168" s="1"/>
  <c r="AD168" s="1"/>
  <c r="Z167"/>
  <c r="Y167"/>
  <c r="M167"/>
  <c r="O167" s="1"/>
  <c r="X166"/>
  <c r="V166"/>
  <c r="T166"/>
  <c r="R166"/>
  <c r="Q166"/>
  <c r="Y166" s="1"/>
  <c r="AA166" s="1"/>
  <c r="AC166" s="1"/>
  <c r="M166"/>
  <c r="O166" s="1"/>
  <c r="M165"/>
  <c r="Z164"/>
  <c r="AB164" s="1"/>
  <c r="AD164" s="1"/>
  <c r="Y164"/>
  <c r="M164"/>
  <c r="Z163"/>
  <c r="AB163" s="1"/>
  <c r="AD163" s="1"/>
  <c r="Y163"/>
  <c r="M163"/>
  <c r="Z162"/>
  <c r="AB162" s="1"/>
  <c r="AD162" s="1"/>
  <c r="Y162"/>
  <c r="M162"/>
  <c r="X161"/>
  <c r="V161"/>
  <c r="T161"/>
  <c r="R161"/>
  <c r="Q161"/>
  <c r="Y161" s="1"/>
  <c r="M161"/>
  <c r="Z160"/>
  <c r="Y160"/>
  <c r="M160"/>
  <c r="Z158"/>
  <c r="AB158" s="1"/>
  <c r="AD158" s="1"/>
  <c r="Y158"/>
  <c r="M158"/>
  <c r="Z157"/>
  <c r="Y157"/>
  <c r="AA157" s="1"/>
  <c r="AC157" s="1"/>
  <c r="M157"/>
  <c r="Z156"/>
  <c r="Y156"/>
  <c r="AA156" s="1"/>
  <c r="AC156" s="1"/>
  <c r="M156"/>
  <c r="X155"/>
  <c r="V155"/>
  <c r="T155"/>
  <c r="R155"/>
  <c r="Q155"/>
  <c r="Y155" s="1"/>
  <c r="K155"/>
  <c r="M155" s="1"/>
  <c r="Y154"/>
  <c r="AB154" s="1"/>
  <c r="AD154" s="1"/>
  <c r="M154"/>
  <c r="Z153"/>
  <c r="Y153"/>
  <c r="M153"/>
  <c r="Z152"/>
  <c r="Y152"/>
  <c r="M152"/>
  <c r="Z151"/>
  <c r="Y151"/>
  <c r="M151"/>
  <c r="Z150"/>
  <c r="Y150"/>
  <c r="M150"/>
  <c r="Z149"/>
  <c r="V149"/>
  <c r="T149"/>
  <c r="R149"/>
  <c r="Q149"/>
  <c r="Y149" s="1"/>
  <c r="M149"/>
  <c r="Z147"/>
  <c r="AB147" s="1"/>
  <c r="AD147" s="1"/>
  <c r="Y147"/>
  <c r="M147"/>
  <c r="Z146"/>
  <c r="Y146"/>
  <c r="M146"/>
  <c r="Z145"/>
  <c r="Y145"/>
  <c r="M145"/>
  <c r="Z144"/>
  <c r="Y144"/>
  <c r="M144"/>
  <c r="X143"/>
  <c r="V143"/>
  <c r="T143"/>
  <c r="R143"/>
  <c r="Q143"/>
  <c r="Y143" s="1"/>
  <c r="AB141"/>
  <c r="AD141" s="1"/>
  <c r="Y141"/>
  <c r="AA141" s="1"/>
  <c r="AC141" s="1"/>
  <c r="Z140"/>
  <c r="Y140"/>
  <c r="AA140" s="1"/>
  <c r="AC140" s="1"/>
  <c r="X139"/>
  <c r="W139"/>
  <c r="V139"/>
  <c r="U139"/>
  <c r="T139"/>
  <c r="R139"/>
  <c r="Q139"/>
  <c r="P139"/>
  <c r="Z137"/>
  <c r="Z136" s="1"/>
  <c r="Y137"/>
  <c r="AA137" s="1"/>
  <c r="AC137" s="1"/>
  <c r="X136"/>
  <c r="W136"/>
  <c r="V136"/>
  <c r="U136"/>
  <c r="T136"/>
  <c r="Q136"/>
  <c r="P136"/>
  <c r="Z134"/>
  <c r="Y134"/>
  <c r="AA134" s="1"/>
  <c r="AC134" s="1"/>
  <c r="Z133"/>
  <c r="Y133"/>
  <c r="AA133" s="1"/>
  <c r="AC133" s="1"/>
  <c r="AB133" s="1"/>
  <c r="AD133" s="1"/>
  <c r="Z132"/>
  <c r="Y132"/>
  <c r="AA132" s="1"/>
  <c r="AC132" s="1"/>
  <c r="Z131"/>
  <c r="Y131"/>
  <c r="AA131" s="1"/>
  <c r="AC131" s="1"/>
  <c r="Z130"/>
  <c r="Y130"/>
  <c r="AA130" s="1"/>
  <c r="AC130" s="1"/>
  <c r="Z129"/>
  <c r="Y129"/>
  <c r="AA129" s="1"/>
  <c r="AC129" s="1"/>
  <c r="Z128"/>
  <c r="Y128"/>
  <c r="AA128" s="1"/>
  <c r="AC128" s="1"/>
  <c r="Z127"/>
  <c r="Y127"/>
  <c r="AA127" s="1"/>
  <c r="AC127" s="1"/>
  <c r="Z126"/>
  <c r="Y126"/>
  <c r="AA126" s="1"/>
  <c r="AC126" s="1"/>
  <c r="Z125"/>
  <c r="Y125"/>
  <c r="AA125" s="1"/>
  <c r="AC125" s="1"/>
  <c r="Z124"/>
  <c r="Y124"/>
  <c r="AA124" s="1"/>
  <c r="AC124" s="1"/>
  <c r="Z123"/>
  <c r="Y123"/>
  <c r="AA123" s="1"/>
  <c r="AC123" s="1"/>
  <c r="Z122"/>
  <c r="Y122"/>
  <c r="AA122" s="1"/>
  <c r="AC122" s="1"/>
  <c r="Z121"/>
  <c r="Y121"/>
  <c r="AA121" s="1"/>
  <c r="AC121" s="1"/>
  <c r="Z120"/>
  <c r="Y120"/>
  <c r="AA120" s="1"/>
  <c r="AC120" s="1"/>
  <c r="Z119"/>
  <c r="Y119"/>
  <c r="AA119" s="1"/>
  <c r="AC119" s="1"/>
  <c r="V118"/>
  <c r="R118"/>
  <c r="Q118"/>
  <c r="Y118" s="1"/>
  <c r="AA118" s="1"/>
  <c r="AC118" s="1"/>
  <c r="Y115"/>
  <c r="AA115" s="1"/>
  <c r="R115"/>
  <c r="Z115" s="1"/>
  <c r="AB115" s="1"/>
  <c r="L115"/>
  <c r="K115"/>
  <c r="O115" s="1"/>
  <c r="Y114"/>
  <c r="AA114" s="1"/>
  <c r="R114"/>
  <c r="Z114" s="1"/>
  <c r="AB114" s="1"/>
  <c r="L114"/>
  <c r="K114"/>
  <c r="O114" s="1"/>
  <c r="Z113"/>
  <c r="Y113"/>
  <c r="AA113" s="1"/>
  <c r="AC113" s="1"/>
  <c r="N113"/>
  <c r="L113"/>
  <c r="Z112"/>
  <c r="Y112"/>
  <c r="AA112" s="1"/>
  <c r="AC112" s="1"/>
  <c r="N112"/>
  <c r="L112"/>
  <c r="Z111"/>
  <c r="Y111"/>
  <c r="AA111" s="1"/>
  <c r="AC111" s="1"/>
  <c r="P111"/>
  <c r="P108" s="1"/>
  <c r="N111"/>
  <c r="L111"/>
  <c r="Z110"/>
  <c r="Q110"/>
  <c r="Y110" s="1"/>
  <c r="AA110" s="1"/>
  <c r="AC110" s="1"/>
  <c r="N110"/>
  <c r="L110"/>
  <c r="Q108"/>
  <c r="Y108" s="1"/>
  <c r="AA108" s="1"/>
  <c r="AC108" s="1"/>
  <c r="Z106"/>
  <c r="AB106" s="1"/>
  <c r="Y106"/>
  <c r="AA106" s="1"/>
  <c r="L106"/>
  <c r="K106"/>
  <c r="Z105"/>
  <c r="AB105" s="1"/>
  <c r="Y105"/>
  <c r="AA105" s="1"/>
  <c r="AC105" s="1"/>
  <c r="L105"/>
  <c r="Z104"/>
  <c r="AB104" s="1"/>
  <c r="Y104"/>
  <c r="AA104" s="1"/>
  <c r="AC104" s="1"/>
  <c r="L104"/>
  <c r="Z103"/>
  <c r="Y103"/>
  <c r="N103"/>
  <c r="M103"/>
  <c r="L103"/>
  <c r="K103"/>
  <c r="Z102"/>
  <c r="Y102"/>
  <c r="AA102" s="1"/>
  <c r="N102"/>
  <c r="L102"/>
  <c r="K102"/>
  <c r="Z101"/>
  <c r="Y101"/>
  <c r="N101"/>
  <c r="M101"/>
  <c r="L101"/>
  <c r="K101"/>
  <c r="Z100"/>
  <c r="AB100" s="1"/>
  <c r="Y100"/>
  <c r="M100"/>
  <c r="L100"/>
  <c r="K100"/>
  <c r="Z99"/>
  <c r="Y99"/>
  <c r="AA99" s="1"/>
  <c r="N99"/>
  <c r="L99"/>
  <c r="K99"/>
  <c r="Z98"/>
  <c r="Y98"/>
  <c r="AA98" s="1"/>
  <c r="N98"/>
  <c r="L98"/>
  <c r="K98"/>
  <c r="Z97"/>
  <c r="Y97"/>
  <c r="AA97" s="1"/>
  <c r="N97"/>
  <c r="L97"/>
  <c r="K97"/>
  <c r="Z96"/>
  <c r="AB96" s="1"/>
  <c r="Y96"/>
  <c r="AA96" s="1"/>
  <c r="AC96" s="1"/>
  <c r="L96"/>
  <c r="Z95"/>
  <c r="Y95"/>
  <c r="AA95" s="1"/>
  <c r="N95"/>
  <c r="L95"/>
  <c r="K95"/>
  <c r="Z94"/>
  <c r="Y94"/>
  <c r="N94"/>
  <c r="M94"/>
  <c r="L94"/>
  <c r="K94"/>
  <c r="Z93"/>
  <c r="Y93"/>
  <c r="N93"/>
  <c r="M93"/>
  <c r="L93"/>
  <c r="K93"/>
  <c r="O91"/>
  <c r="M91"/>
  <c r="K91"/>
  <c r="R90"/>
  <c r="Q90"/>
  <c r="Y90" s="1"/>
  <c r="P90"/>
  <c r="O90"/>
  <c r="M90"/>
  <c r="K90"/>
  <c r="Z88"/>
  <c r="AB88" s="1"/>
  <c r="AD88" s="1"/>
  <c r="Y88"/>
  <c r="AA88" s="1"/>
  <c r="AC88" s="1"/>
  <c r="Z87"/>
  <c r="AB87" s="1"/>
  <c r="Y87"/>
  <c r="AA87" s="1"/>
  <c r="AC87" s="1"/>
  <c r="P87"/>
  <c r="L87"/>
  <c r="K87"/>
  <c r="Z86"/>
  <c r="AB86" s="1"/>
  <c r="AD86" s="1"/>
  <c r="Y86"/>
  <c r="AA86" s="1"/>
  <c r="AC86" s="1"/>
  <c r="Z85"/>
  <c r="AB85" s="1"/>
  <c r="AD85" s="1"/>
  <c r="Y85"/>
  <c r="AA85" s="1"/>
  <c r="AC85" s="1"/>
  <c r="Z84"/>
  <c r="Y84"/>
  <c r="AA84" s="1"/>
  <c r="AC84" s="1"/>
  <c r="P84"/>
  <c r="L84" s="1"/>
  <c r="N84"/>
  <c r="Z83"/>
  <c r="AB83" s="1"/>
  <c r="AD83" s="1"/>
  <c r="Y83"/>
  <c r="AA83" s="1"/>
  <c r="AC83" s="1"/>
  <c r="Z82"/>
  <c r="Y82"/>
  <c r="AA82" s="1"/>
  <c r="N82"/>
  <c r="L82"/>
  <c r="K82"/>
  <c r="Z81"/>
  <c r="Y81"/>
  <c r="AA81" s="1"/>
  <c r="P81"/>
  <c r="N81"/>
  <c r="L81"/>
  <c r="K81"/>
  <c r="R80"/>
  <c r="O80"/>
  <c r="Q80" s="1"/>
  <c r="Y80" s="1"/>
  <c r="M80"/>
  <c r="K80"/>
  <c r="Z78"/>
  <c r="Y78"/>
  <c r="AA78" s="1"/>
  <c r="N78"/>
  <c r="L78"/>
  <c r="K78"/>
  <c r="Z77"/>
  <c r="AB77" s="1"/>
  <c r="Y77"/>
  <c r="AA77" s="1"/>
  <c r="P77"/>
  <c r="P74" s="1"/>
  <c r="L77"/>
  <c r="K77"/>
  <c r="Z76"/>
  <c r="Y76"/>
  <c r="N76"/>
  <c r="M76"/>
  <c r="L76"/>
  <c r="K76"/>
  <c r="Z75"/>
  <c r="Y75"/>
  <c r="O75"/>
  <c r="N75"/>
  <c r="M75"/>
  <c r="L75"/>
  <c r="K75"/>
  <c r="R74"/>
  <c r="Q74"/>
  <c r="Y74" s="1"/>
  <c r="O74"/>
  <c r="M74"/>
  <c r="K74"/>
  <c r="Y72"/>
  <c r="AA72" s="1"/>
  <c r="R72"/>
  <c r="Z72" s="1"/>
  <c r="P72"/>
  <c r="L72" s="1"/>
  <c r="N72"/>
  <c r="K72"/>
  <c r="Z71"/>
  <c r="AB71" s="1"/>
  <c r="Y71"/>
  <c r="AA71" s="1"/>
  <c r="L71"/>
  <c r="K71"/>
  <c r="Y70"/>
  <c r="AA70" s="1"/>
  <c r="R70"/>
  <c r="Z70" s="1"/>
  <c r="AB70" s="1"/>
  <c r="P70"/>
  <c r="L70" s="1"/>
  <c r="K70"/>
  <c r="Z69"/>
  <c r="Y69"/>
  <c r="AA69" s="1"/>
  <c r="AC69" s="1"/>
  <c r="N69"/>
  <c r="L69"/>
  <c r="Y68"/>
  <c r="AA68" s="1"/>
  <c r="R68"/>
  <c r="Z68" s="1"/>
  <c r="AB68" s="1"/>
  <c r="L68"/>
  <c r="K68"/>
  <c r="Y67"/>
  <c r="AA67" s="1"/>
  <c r="T67"/>
  <c r="Z67" s="1"/>
  <c r="AB67" s="1"/>
  <c r="L67"/>
  <c r="K67"/>
  <c r="Z66"/>
  <c r="Y66"/>
  <c r="AA66" s="1"/>
  <c r="AC66" s="1"/>
  <c r="N66"/>
  <c r="AB66" s="1"/>
  <c r="AD66" s="1"/>
  <c r="L66"/>
  <c r="Z65"/>
  <c r="AB65" s="1"/>
  <c r="Y65"/>
  <c r="AA65" s="1"/>
  <c r="AC65" s="1"/>
  <c r="P65"/>
  <c r="L65" s="1"/>
  <c r="Z64"/>
  <c r="AB64" s="1"/>
  <c r="AD64" s="1"/>
  <c r="Y64"/>
  <c r="AA64" s="1"/>
  <c r="AC64" s="1"/>
  <c r="Z63"/>
  <c r="Y63"/>
  <c r="AA63" s="1"/>
  <c r="AC63" s="1"/>
  <c r="N63"/>
  <c r="L63"/>
  <c r="Z62"/>
  <c r="Y62"/>
  <c r="AA62" s="1"/>
  <c r="AC62" s="1"/>
  <c r="P62"/>
  <c r="N62"/>
  <c r="L62"/>
  <c r="Z61"/>
  <c r="AB61" s="1"/>
  <c r="Y61"/>
  <c r="AA61" s="1"/>
  <c r="L61"/>
  <c r="K61"/>
  <c r="Z60"/>
  <c r="AB60" s="1"/>
  <c r="Y60"/>
  <c r="AA60" s="1"/>
  <c r="P60"/>
  <c r="L60" s="1"/>
  <c r="K60"/>
  <c r="Z59"/>
  <c r="AB59" s="1"/>
  <c r="Y59"/>
  <c r="AA59" s="1"/>
  <c r="AC59" s="1"/>
  <c r="L59"/>
  <c r="Z58"/>
  <c r="AB58" s="1"/>
  <c r="AD58" s="1"/>
  <c r="Y58"/>
  <c r="AA58" s="1"/>
  <c r="AC58" s="1"/>
  <c r="Z57"/>
  <c r="AB57" s="1"/>
  <c r="Y57"/>
  <c r="AA57" s="1"/>
  <c r="P57"/>
  <c r="L57" s="1"/>
  <c r="K57"/>
  <c r="Z56"/>
  <c r="AB56" s="1"/>
  <c r="AD56" s="1"/>
  <c r="Y56"/>
  <c r="AA56" s="1"/>
  <c r="AC56" s="1"/>
  <c r="Z55"/>
  <c r="Y55"/>
  <c r="AA55" s="1"/>
  <c r="AC55" s="1"/>
  <c r="P55"/>
  <c r="N55"/>
  <c r="L55"/>
  <c r="Z54"/>
  <c r="AB54" s="1"/>
  <c r="Y54"/>
  <c r="AA54" s="1"/>
  <c r="P54"/>
  <c r="L54" s="1"/>
  <c r="K54"/>
  <c r="Z53"/>
  <c r="AB53" s="1"/>
  <c r="Y53"/>
  <c r="AA53" s="1"/>
  <c r="L53"/>
  <c r="K53"/>
  <c r="Y52"/>
  <c r="AA52" s="1"/>
  <c r="R52"/>
  <c r="Z52" s="1"/>
  <c r="AB52" s="1"/>
  <c r="AD52" s="1"/>
  <c r="L52"/>
  <c r="K52"/>
  <c r="Z51"/>
  <c r="Y51"/>
  <c r="AA51" s="1"/>
  <c r="AC51" s="1"/>
  <c r="N51"/>
  <c r="L51"/>
  <c r="Z50"/>
  <c r="AB50" s="1"/>
  <c r="AD50" s="1"/>
  <c r="Y50"/>
  <c r="AA50" s="1"/>
  <c r="AC50" s="1"/>
  <c r="Z49"/>
  <c r="Y49"/>
  <c r="AA49" s="1"/>
  <c r="N49"/>
  <c r="L49"/>
  <c r="K49"/>
  <c r="Z48"/>
  <c r="AB48" s="1"/>
  <c r="Y48"/>
  <c r="AA48" s="1"/>
  <c r="AC48" s="1"/>
  <c r="O47"/>
  <c r="Q47" s="1"/>
  <c r="M47"/>
  <c r="K47"/>
  <c r="O46"/>
  <c r="Q46" s="1"/>
  <c r="M46"/>
  <c r="K46"/>
  <c r="Q45"/>
  <c r="K45"/>
  <c r="Q44"/>
  <c r="Y44" s="1"/>
  <c r="O44"/>
  <c r="M44"/>
  <c r="K44"/>
  <c r="Z42"/>
  <c r="Y42"/>
  <c r="AA42" s="1"/>
  <c r="AC42" s="1"/>
  <c r="N42"/>
  <c r="L42"/>
  <c r="Z41"/>
  <c r="Z39" s="1"/>
  <c r="Y41"/>
  <c r="AA41" s="1"/>
  <c r="N41"/>
  <c r="L41"/>
  <c r="K41"/>
  <c r="Z40"/>
  <c r="Y40"/>
  <c r="AA40" s="1"/>
  <c r="AC40" s="1"/>
  <c r="N40"/>
  <c r="L40"/>
  <c r="R39"/>
  <c r="P39"/>
  <c r="M38"/>
  <c r="O39" s="1"/>
  <c r="Q39" s="1"/>
  <c r="Y39" s="1"/>
  <c r="AA37"/>
  <c r="AC37" s="1"/>
  <c r="R37"/>
  <c r="O37"/>
  <c r="Q37" s="1"/>
  <c r="N37"/>
  <c r="L37"/>
  <c r="AA36"/>
  <c r="AC36" s="1"/>
  <c r="R36"/>
  <c r="Z36" s="1"/>
  <c r="O36"/>
  <c r="Q36" s="1"/>
  <c r="N36"/>
  <c r="L36"/>
  <c r="AA35"/>
  <c r="AC35" s="1"/>
  <c r="Z35"/>
  <c r="O35"/>
  <c r="N35"/>
  <c r="L35"/>
  <c r="Y34"/>
  <c r="AA34" s="1"/>
  <c r="AC34" s="1"/>
  <c r="P34"/>
  <c r="AA33"/>
  <c r="AC33" s="1"/>
  <c r="Z33"/>
  <c r="O33"/>
  <c r="N33"/>
  <c r="L33"/>
  <c r="AA32"/>
  <c r="AC32" s="1"/>
  <c r="Z32"/>
  <c r="AB32" s="1"/>
  <c r="L32"/>
  <c r="AA31"/>
  <c r="AC31" s="1"/>
  <c r="Z31"/>
  <c r="AB31" s="1"/>
  <c r="AD31" s="1"/>
  <c r="AA30"/>
  <c r="AC30" s="1"/>
  <c r="R30"/>
  <c r="Z30" s="1"/>
  <c r="O30"/>
  <c r="Q30" s="1"/>
  <c r="N30"/>
  <c r="L30"/>
  <c r="Z29"/>
  <c r="N29"/>
  <c r="M29"/>
  <c r="AA29" s="1"/>
  <c r="L29"/>
  <c r="K29"/>
  <c r="AA28"/>
  <c r="AC28" s="1"/>
  <c r="R28"/>
  <c r="Z28" s="1"/>
  <c r="O28"/>
  <c r="Q28" s="1"/>
  <c r="N28"/>
  <c r="L28"/>
  <c r="AA27"/>
  <c r="AC27" s="1"/>
  <c r="R27"/>
  <c r="O27"/>
  <c r="T27" s="1"/>
  <c r="N27"/>
  <c r="L27"/>
  <c r="R26"/>
  <c r="Z26" s="1"/>
  <c r="Q26"/>
  <c r="N26"/>
  <c r="M26"/>
  <c r="AA26" s="1"/>
  <c r="L26"/>
  <c r="K26"/>
  <c r="R25"/>
  <c r="Z25" s="1"/>
  <c r="Q25"/>
  <c r="N25"/>
  <c r="M25"/>
  <c r="AA25" s="1"/>
  <c r="L25"/>
  <c r="K25"/>
  <c r="AA24"/>
  <c r="AC24" s="1"/>
  <c r="Z24"/>
  <c r="AB24" s="1"/>
  <c r="AD24" s="1"/>
  <c r="AA23"/>
  <c r="AC23" s="1"/>
  <c r="R23"/>
  <c r="Z23" s="1"/>
  <c r="Q23"/>
  <c r="N23"/>
  <c r="L23"/>
  <c r="AA22"/>
  <c r="AC22" s="1"/>
  <c r="R22"/>
  <c r="Z22" s="1"/>
  <c r="Q22"/>
  <c r="N22"/>
  <c r="L22"/>
  <c r="AA21"/>
  <c r="AC21" s="1"/>
  <c r="R21"/>
  <c r="Z21" s="1"/>
  <c r="Q21"/>
  <c r="N21"/>
  <c r="L21"/>
  <c r="AA20"/>
  <c r="AC20" s="1"/>
  <c r="R20"/>
  <c r="Z20" s="1"/>
  <c r="Q20"/>
  <c r="N20"/>
  <c r="L20"/>
  <c r="AA19"/>
  <c r="AC19" s="1"/>
  <c r="R19"/>
  <c r="Z19" s="1"/>
  <c r="Q19"/>
  <c r="N19"/>
  <c r="L19"/>
  <c r="AA18"/>
  <c r="AC18" s="1"/>
  <c r="Z18"/>
  <c r="AB18" s="1"/>
  <c r="Q18"/>
  <c r="P17"/>
  <c r="O17"/>
  <c r="Q17" s="1"/>
  <c r="Y17" s="1"/>
  <c r="Z118" l="1"/>
  <c r="X118" s="1"/>
  <c r="AC904"/>
  <c r="AC974"/>
  <c r="AB1774"/>
  <c r="Z90"/>
  <c r="AB94"/>
  <c r="AD94" s="1"/>
  <c r="AC77"/>
  <c r="AB187"/>
  <c r="AD187" s="1"/>
  <c r="AC798"/>
  <c r="AB897"/>
  <c r="AD897" s="1"/>
  <c r="Z1062"/>
  <c r="W1113"/>
  <c r="AB1724"/>
  <c r="L1723" s="1"/>
  <c r="AD719"/>
  <c r="AA1139"/>
  <c r="AC1139" s="1"/>
  <c r="AB1229"/>
  <c r="AB1230"/>
  <c r="L80"/>
  <c r="AA169"/>
  <c r="AC169" s="1"/>
  <c r="AA200"/>
  <c r="AC200" s="1"/>
  <c r="AA423"/>
  <c r="AC423" s="1"/>
  <c r="AB428"/>
  <c r="AD428" s="1"/>
  <c r="AB460"/>
  <c r="AD460" s="1"/>
  <c r="AD1300"/>
  <c r="Y1461"/>
  <c r="O1468"/>
  <c r="AB1586"/>
  <c r="AD1586" s="1"/>
  <c r="AB1590"/>
  <c r="AB1735"/>
  <c r="AB62"/>
  <c r="AD62" s="1"/>
  <c r="AA155"/>
  <c r="AC155" s="1"/>
  <c r="AA167"/>
  <c r="AC167" s="1"/>
  <c r="AA195"/>
  <c r="AC195" s="1"/>
  <c r="AB200"/>
  <c r="AD200" s="1"/>
  <c r="AB906"/>
  <c r="AD906" s="1"/>
  <c r="N1215"/>
  <c r="L1302"/>
  <c r="O1503"/>
  <c r="AB1622"/>
  <c r="AC72"/>
  <c r="AD813"/>
  <c r="AD812" s="1"/>
  <c r="AC849"/>
  <c r="AA1213"/>
  <c r="AC1213" s="1"/>
  <c r="O1481"/>
  <c r="AC1592"/>
  <c r="AB1604"/>
  <c r="AD1604" s="1"/>
  <c r="AB1706"/>
  <c r="AA76"/>
  <c r="AC76" s="1"/>
  <c r="AC114"/>
  <c r="Y382"/>
  <c r="AA382" s="1"/>
  <c r="AC382" s="1"/>
  <c r="AB541"/>
  <c r="AB545"/>
  <c r="AD848"/>
  <c r="AC906"/>
  <c r="AA997"/>
  <c r="Y1464"/>
  <c r="AD1468"/>
  <c r="AB1751"/>
  <c r="L1751" s="1"/>
  <c r="AB1766"/>
  <c r="AC1712"/>
  <c r="N34"/>
  <c r="AB188"/>
  <c r="AD188" s="1"/>
  <c r="AB462"/>
  <c r="AD462" s="1"/>
  <c r="AB534"/>
  <c r="AB543"/>
  <c r="AD543" s="1"/>
  <c r="AA906"/>
  <c r="AA1151"/>
  <c r="AC1151" s="1"/>
  <c r="AC1158" s="1"/>
  <c r="AC1579"/>
  <c r="N1689"/>
  <c r="AB1689" s="1"/>
  <c r="AC71"/>
  <c r="AA94"/>
  <c r="AC94" s="1"/>
  <c r="AB99"/>
  <c r="AD99" s="1"/>
  <c r="R108"/>
  <c r="AB110"/>
  <c r="AD110" s="1"/>
  <c r="AC115"/>
  <c r="AB236"/>
  <c r="AD236" s="1"/>
  <c r="AD255" s="1"/>
  <c r="AC325"/>
  <c r="L561"/>
  <c r="AB567"/>
  <c r="Q616"/>
  <c r="AD649"/>
  <c r="AA793"/>
  <c r="AC793" s="1"/>
  <c r="AC830"/>
  <c r="AD884"/>
  <c r="AD890"/>
  <c r="AC909"/>
  <c r="AB912"/>
  <c r="AD912" s="1"/>
  <c r="AB914"/>
  <c r="AD914" s="1"/>
  <c r="AA941"/>
  <c r="AC941" s="1"/>
  <c r="AC942"/>
  <c r="AD943"/>
  <c r="AD953"/>
  <c r="Q1011"/>
  <c r="Y1011" s="1"/>
  <c r="AC1011" s="1"/>
  <c r="BI1051"/>
  <c r="AV1060"/>
  <c r="BD1060" s="1"/>
  <c r="BG1063"/>
  <c r="BE1067"/>
  <c r="AI1118"/>
  <c r="AB1216"/>
  <c r="AD1216" s="1"/>
  <c r="AB1220"/>
  <c r="AD1220" s="1"/>
  <c r="AB1224"/>
  <c r="AD1224" s="1"/>
  <c r="AB1273"/>
  <c r="AD1273" s="1"/>
  <c r="AB1278"/>
  <c r="AD1278" s="1"/>
  <c r="L1317"/>
  <c r="AB1482"/>
  <c r="AD1482" s="1"/>
  <c r="Q1483"/>
  <c r="Y1486"/>
  <c r="AA1486" s="1"/>
  <c r="AC1486" s="1"/>
  <c r="AC1583"/>
  <c r="AC1593"/>
  <c r="AD1614"/>
  <c r="N1655"/>
  <c r="AB1655" s="1"/>
  <c r="AB1658"/>
  <c r="AB1661"/>
  <c r="AD1661" s="1"/>
  <c r="AB1677"/>
  <c r="AB1699"/>
  <c r="AD1699" s="1"/>
  <c r="AB1715"/>
  <c r="AC1720"/>
  <c r="AC1721" s="1"/>
  <c r="AB1768"/>
  <c r="AD1768" s="1"/>
  <c r="AC99"/>
  <c r="AB132"/>
  <c r="AD132" s="1"/>
  <c r="AB470"/>
  <c r="AD470" s="1"/>
  <c r="AB547"/>
  <c r="AD547" s="1"/>
  <c r="AC779"/>
  <c r="L34"/>
  <c r="AA75"/>
  <c r="N74"/>
  <c r="AB101"/>
  <c r="AD101" s="1"/>
  <c r="AD104"/>
  <c r="AB112"/>
  <c r="AD112" s="1"/>
  <c r="AB113"/>
  <c r="AD113" s="1"/>
  <c r="AD115"/>
  <c r="M143"/>
  <c r="AB169"/>
  <c r="AD169" s="1"/>
  <c r="AA185"/>
  <c r="AC185" s="1"/>
  <c r="AA190"/>
  <c r="AC190" s="1"/>
  <c r="AA197"/>
  <c r="AC197" s="1"/>
  <c r="AA201"/>
  <c r="AC201" s="1"/>
  <c r="AB265"/>
  <c r="AD265" s="1"/>
  <c r="AD271" s="1"/>
  <c r="AD273"/>
  <c r="AD279" s="1"/>
  <c r="AB326"/>
  <c r="AB423"/>
  <c r="AD423" s="1"/>
  <c r="AD433" s="1"/>
  <c r="AA534"/>
  <c r="AC534" s="1"/>
  <c r="AA797"/>
  <c r="AA803"/>
  <c r="AC803" s="1"/>
  <c r="L842"/>
  <c r="AB892"/>
  <c r="AD892" s="1"/>
  <c r="AC944"/>
  <c r="AC967"/>
  <c r="AC968"/>
  <c r="BF1060"/>
  <c r="BH1060" s="1"/>
  <c r="AD1118"/>
  <c r="W1128"/>
  <c r="AB1193"/>
  <c r="AD1193" s="1"/>
  <c r="AC1196"/>
  <c r="N1239"/>
  <c r="AB1241"/>
  <c r="AD1241" s="1"/>
  <c r="AB1279"/>
  <c r="U1296"/>
  <c r="Y1296" s="1"/>
  <c r="AA1296" s="1"/>
  <c r="AC1296" s="1"/>
  <c r="AB1298"/>
  <c r="AD1298" s="1"/>
  <c r="O1459"/>
  <c r="Y1463"/>
  <c r="AA1463" s="1"/>
  <c r="AC1463" s="1"/>
  <c r="M1483"/>
  <c r="M1511"/>
  <c r="AA1511" s="1"/>
  <c r="AC1511" s="1"/>
  <c r="AD1514"/>
  <c r="Z1545"/>
  <c r="AB1581"/>
  <c r="AB1588"/>
  <c r="AD1588" s="1"/>
  <c r="AD1606"/>
  <c r="AB1613"/>
  <c r="AD1613" s="1"/>
  <c r="AD1615" s="1"/>
  <c r="AC1620"/>
  <c r="AC1626"/>
  <c r="AB1647"/>
  <c r="AD1647" s="1"/>
  <c r="AB1712"/>
  <c r="AD1712" s="1"/>
  <c r="AA212"/>
  <c r="AC212" s="1"/>
  <c r="AB20"/>
  <c r="AB22"/>
  <c r="AD22" s="1"/>
  <c r="AC26"/>
  <c r="Q27"/>
  <c r="AB29"/>
  <c r="AD29" s="1"/>
  <c r="L39"/>
  <c r="AB49"/>
  <c r="AD49" s="1"/>
  <c r="AB55"/>
  <c r="AD55" s="1"/>
  <c r="AD59"/>
  <c r="AC61"/>
  <c r="AA74"/>
  <c r="AC74" s="1"/>
  <c r="AB75"/>
  <c r="AD75" s="1"/>
  <c r="AC106"/>
  <c r="AB125"/>
  <c r="AD125" s="1"/>
  <c r="AA161"/>
  <c r="AC161" s="1"/>
  <c r="AA168"/>
  <c r="AC168" s="1"/>
  <c r="AA171"/>
  <c r="AC171" s="1"/>
  <c r="AB180"/>
  <c r="AD180" s="1"/>
  <c r="AA199"/>
  <c r="AC199" s="1"/>
  <c r="AB212"/>
  <c r="AD212" s="1"/>
  <c r="AA261"/>
  <c r="AC261" s="1"/>
  <c r="AB480"/>
  <c r="AD480" s="1"/>
  <c r="Y616"/>
  <c r="Y719"/>
  <c r="AB1641"/>
  <c r="AB26"/>
  <c r="AD26" s="1"/>
  <c r="Z27"/>
  <c r="AB27" s="1"/>
  <c r="AD27" s="1"/>
  <c r="AB33"/>
  <c r="AD33" s="1"/>
  <c r="AB41"/>
  <c r="AD41" s="1"/>
  <c r="AB42"/>
  <c r="AD42" s="1"/>
  <c r="AA44"/>
  <c r="AC44" s="1"/>
  <c r="AC57"/>
  <c r="AD61"/>
  <c r="AC81"/>
  <c r="N80"/>
  <c r="AD87"/>
  <c r="AA101"/>
  <c r="AC101" s="1"/>
  <c r="AB103"/>
  <c r="AD103" s="1"/>
  <c r="AD105"/>
  <c r="AD106"/>
  <c r="AB124"/>
  <c r="AD124" s="1"/>
  <c r="AB149"/>
  <c r="AD149" s="1"/>
  <c r="AA150"/>
  <c r="AC150" s="1"/>
  <c r="AA151"/>
  <c r="AC151" s="1"/>
  <c r="AA152"/>
  <c r="AC152" s="1"/>
  <c r="AA153"/>
  <c r="AC153" s="1"/>
  <c r="AA154"/>
  <c r="AC154" s="1"/>
  <c r="AB156"/>
  <c r="AD156" s="1"/>
  <c r="AB157"/>
  <c r="AD157" s="1"/>
  <c r="AA158"/>
  <c r="AC158" s="1"/>
  <c r="AA160"/>
  <c r="AC160" s="1"/>
  <c r="Z161"/>
  <c r="AB161" s="1"/>
  <c r="AD161" s="1"/>
  <c r="AA163"/>
  <c r="AC163" s="1"/>
  <c r="AA188"/>
  <c r="AC188" s="1"/>
  <c r="AB261"/>
  <c r="AD261" s="1"/>
  <c r="AD263" s="1"/>
  <c r="AB386"/>
  <c r="AD386" s="1"/>
  <c r="AC433"/>
  <c r="AB454"/>
  <c r="AD454" s="1"/>
  <c r="AB468"/>
  <c r="AD468" s="1"/>
  <c r="Q561"/>
  <c r="AB594"/>
  <c r="AD594" s="1"/>
  <c r="AD32"/>
  <c r="AB36"/>
  <c r="AD36" s="1"/>
  <c r="R34"/>
  <c r="Q38"/>
  <c r="AC53"/>
  <c r="AC68"/>
  <c r="AC82"/>
  <c r="AC98"/>
  <c r="AD100"/>
  <c r="AA162"/>
  <c r="AC162" s="1"/>
  <c r="AA193"/>
  <c r="AC193" s="1"/>
  <c r="AC203"/>
  <c r="AA208"/>
  <c r="AC208" s="1"/>
  <c r="AA216"/>
  <c r="AC216" s="1"/>
  <c r="AB282"/>
  <c r="AD282" s="1"/>
  <c r="AD288" s="1"/>
  <c r="AB302"/>
  <c r="AD302" s="1"/>
  <c r="AD312" s="1"/>
  <c r="AB464"/>
  <c r="AD464" s="1"/>
  <c r="AB482"/>
  <c r="AD482" s="1"/>
  <c r="AB484"/>
  <c r="AD484" s="1"/>
  <c r="AB526"/>
  <c r="AA776"/>
  <c r="AC776" s="1"/>
  <c r="AA794"/>
  <c r="AC794" s="1"/>
  <c r="AD828"/>
  <c r="AA869"/>
  <c r="AC869" s="1"/>
  <c r="AC972"/>
  <c r="Q1015"/>
  <c r="Y1015" s="1"/>
  <c r="AA1015" s="1"/>
  <c r="AA1055"/>
  <c r="AC1055" s="1"/>
  <c r="AB1056"/>
  <c r="AD1056" s="1"/>
  <c r="AA1059"/>
  <c r="AC1059" s="1"/>
  <c r="AU1060"/>
  <c r="BH1065"/>
  <c r="L1165"/>
  <c r="AB1255"/>
  <c r="AD1255" s="1"/>
  <c r="AB1261"/>
  <c r="AD1261" s="1"/>
  <c r="AD1291"/>
  <c r="N1315"/>
  <c r="AB1315" s="1"/>
  <c r="AD1315" s="1"/>
  <c r="AD1333"/>
  <c r="R1458"/>
  <c r="O1485"/>
  <c r="AC1589"/>
  <c r="AD1597"/>
  <c r="AC1651"/>
  <c r="AC1653" s="1"/>
  <c r="AC1697"/>
  <c r="AC1704" s="1"/>
  <c r="AB1720"/>
  <c r="AD1720" s="1"/>
  <c r="AB1730"/>
  <c r="AD1730" s="1"/>
  <c r="L1742"/>
  <c r="AB1784"/>
  <c r="AC832"/>
  <c r="AD904"/>
  <c r="AC966"/>
  <c r="BG1083"/>
  <c r="BI1083" s="1"/>
  <c r="AB1124"/>
  <c r="AD1124" s="1"/>
  <c r="AB1185"/>
  <c r="AD1185" s="1"/>
  <c r="AB1186"/>
  <c r="AD1186" s="1"/>
  <c r="AB1187"/>
  <c r="AD1187" s="1"/>
  <c r="AB1188"/>
  <c r="U1338"/>
  <c r="AB1481"/>
  <c r="AD1481" s="1"/>
  <c r="Q1488"/>
  <c r="AD1503"/>
  <c r="Y1567"/>
  <c r="AB1579"/>
  <c r="AD1579" s="1"/>
  <c r="AC1582"/>
  <c r="AB894"/>
  <c r="AD894" s="1"/>
  <c r="AD951"/>
  <c r="AC971"/>
  <c r="P985"/>
  <c r="AB977"/>
  <c r="AD977" s="1"/>
  <c r="AB978"/>
  <c r="AD978" s="1"/>
  <c r="AB979"/>
  <c r="AD979" s="1"/>
  <c r="AA1017"/>
  <c r="AB1114"/>
  <c r="AD1114" s="1"/>
  <c r="W1121"/>
  <c r="AB1231"/>
  <c r="AD1231" s="1"/>
  <c r="R1302"/>
  <c r="Z1302" s="1"/>
  <c r="AD1312"/>
  <c r="AD1324"/>
  <c r="AB1493"/>
  <c r="AB1510"/>
  <c r="Z1540"/>
  <c r="Z1567"/>
  <c r="AC1590"/>
  <c r="AC1591"/>
  <c r="AB1600"/>
  <c r="AC1630"/>
  <c r="AC1660"/>
  <c r="AA801"/>
  <c r="AC801" s="1"/>
  <c r="AA802"/>
  <c r="AC802" s="1"/>
  <c r="AA804"/>
  <c r="AC804" s="1"/>
  <c r="AA806"/>
  <c r="AC806" s="1"/>
  <c r="AA807"/>
  <c r="AA828"/>
  <c r="AC828" s="1"/>
  <c r="AB829"/>
  <c r="AC833"/>
  <c r="AC848"/>
  <c r="AD853"/>
  <c r="AB969"/>
  <c r="AD969" s="1"/>
  <c r="AC1030"/>
  <c r="BH1053"/>
  <c r="AS1060"/>
  <c r="AT1067"/>
  <c r="AV1067" s="1"/>
  <c r="BD1067" s="1"/>
  <c r="BF1067" s="1"/>
  <c r="BH1067" s="1"/>
  <c r="BG1069"/>
  <c r="BG1067" s="1"/>
  <c r="BI1067" s="1"/>
  <c r="AH1124"/>
  <c r="AD1202"/>
  <c r="AB1270"/>
  <c r="AD1270" s="1"/>
  <c r="AB1461"/>
  <c r="AD1461" s="1"/>
  <c r="AB1462"/>
  <c r="AB1463"/>
  <c r="AD1463" s="1"/>
  <c r="AB1464"/>
  <c r="AD1464" s="1"/>
  <c r="O1467"/>
  <c r="AB1484"/>
  <c r="AC1526"/>
  <c r="AC1527"/>
  <c r="P1571"/>
  <c r="AB1630"/>
  <c r="AD1630" s="1"/>
  <c r="AB1632"/>
  <c r="AD1632" s="1"/>
  <c r="N1666"/>
  <c r="AB1666" s="1"/>
  <c r="AB1673"/>
  <c r="AB1680"/>
  <c r="AD1680" s="1"/>
  <c r="AD1697"/>
  <c r="N1695"/>
  <c r="AB1695" s="1"/>
  <c r="AB1729"/>
  <c r="AD1729" s="1"/>
  <c r="AB1732"/>
  <c r="AD1732" s="1"/>
  <c r="AB1747"/>
  <c r="AD1775"/>
  <c r="AD1776"/>
  <c r="AB1059"/>
  <c r="AD1059" s="1"/>
  <c r="AA1061"/>
  <c r="AC1061" s="1"/>
  <c r="AB1066"/>
  <c r="Z1328"/>
  <c r="AB1328" s="1"/>
  <c r="AD1328" s="1"/>
  <c r="M1484"/>
  <c r="L1711"/>
  <c r="AB134"/>
  <c r="AD134" s="1"/>
  <c r="N155"/>
  <c r="AB160"/>
  <c r="AD160" s="1"/>
  <c r="AB178"/>
  <c r="AD178" s="1"/>
  <c r="AB192"/>
  <c r="AD192" s="1"/>
  <c r="AA1068"/>
  <c r="AC1068" s="1"/>
  <c r="U1290"/>
  <c r="Q1300"/>
  <c r="Y1300" s="1"/>
  <c r="AA1300" s="1"/>
  <c r="AC1300" s="1"/>
  <c r="AD1751"/>
  <c r="S1289"/>
  <c r="AB1303"/>
  <c r="AD1303" s="1"/>
  <c r="AB1304"/>
  <c r="AD1304" s="1"/>
  <c r="AD1467"/>
  <c r="O1487"/>
  <c r="O1493"/>
  <c r="AD1495"/>
  <c r="O1501"/>
  <c r="M1505"/>
  <c r="AA1505" s="1"/>
  <c r="AC1505" s="1"/>
  <c r="M1507"/>
  <c r="AA1507" s="1"/>
  <c r="AC1507" s="1"/>
  <c r="L1578"/>
  <c r="AD1581"/>
  <c r="L1612"/>
  <c r="AD1619"/>
  <c r="AD1658"/>
  <c r="AD1701"/>
  <c r="AD1702"/>
  <c r="AB1060"/>
  <c r="AD1060" s="1"/>
  <c r="AD1462"/>
  <c r="AD1677"/>
  <c r="AD1678" s="1"/>
  <c r="L1735"/>
  <c r="AD1735" s="1"/>
  <c r="AB195"/>
  <c r="AD195" s="1"/>
  <c r="AB207"/>
  <c r="AD207" s="1"/>
  <c r="AD526"/>
  <c r="AD555"/>
  <c r="P1049"/>
  <c r="AB1061"/>
  <c r="AD1061" s="1"/>
  <c r="AA1063"/>
  <c r="AC1063" s="1"/>
  <c r="AA1064"/>
  <c r="AC1064" s="1"/>
  <c r="AA1069"/>
  <c r="AC1069" s="1"/>
  <c r="AA1071"/>
  <c r="AC1071" s="1"/>
  <c r="U1293"/>
  <c r="U1297"/>
  <c r="AB1320"/>
  <c r="AD1320" s="1"/>
  <c r="V1336"/>
  <c r="O1460"/>
  <c r="O1483"/>
  <c r="AD1501"/>
  <c r="M1504"/>
  <c r="AA1504" s="1"/>
  <c r="AC1504" s="1"/>
  <c r="O1505"/>
  <c r="O1506"/>
  <c r="AD1512"/>
  <c r="AD1659"/>
  <c r="L1666"/>
  <c r="Q1049"/>
  <c r="U1319"/>
  <c r="L1470"/>
  <c r="AD1591"/>
  <c r="AD1603"/>
  <c r="L1622"/>
  <c r="L1689"/>
  <c r="L1727"/>
  <c r="AB119"/>
  <c r="AB140"/>
  <c r="AD140" s="1"/>
  <c r="AB171"/>
  <c r="AD171" s="1"/>
  <c r="AB199"/>
  <c r="AD199" s="1"/>
  <c r="AB211"/>
  <c r="AD211" s="1"/>
  <c r="AB1063"/>
  <c r="AD1063" s="1"/>
  <c r="AA1075"/>
  <c r="AC1075" s="1"/>
  <c r="P1302"/>
  <c r="U1302" s="1"/>
  <c r="U1318"/>
  <c r="S1319"/>
  <c r="O1484"/>
  <c r="AD1505"/>
  <c r="AD1515"/>
  <c r="AD1593"/>
  <c r="L1596"/>
  <c r="AD1602"/>
  <c r="AD1625"/>
  <c r="L1650"/>
  <c r="AD1739"/>
  <c r="AD1784"/>
  <c r="AD1785" s="1"/>
  <c r="AB488"/>
  <c r="AD488" s="1"/>
  <c r="AD528"/>
  <c r="AB452"/>
  <c r="AD452" s="1"/>
  <c r="AB458"/>
  <c r="AD458" s="1"/>
  <c r="AB551"/>
  <c r="AD551" s="1"/>
  <c r="AB126"/>
  <c r="AD126" s="1"/>
  <c r="N176"/>
  <c r="AB189"/>
  <c r="AD189" s="1"/>
  <c r="AB193"/>
  <c r="AD193" s="1"/>
  <c r="AB127"/>
  <c r="AD127" s="1"/>
  <c r="AB182"/>
  <c r="AD182" s="1"/>
  <c r="AB185"/>
  <c r="AD185" s="1"/>
  <c r="N205"/>
  <c r="AB208"/>
  <c r="AD208" s="1"/>
  <c r="AA999"/>
  <c r="AC999"/>
  <c r="AC993"/>
  <c r="AA993"/>
  <c r="AC989"/>
  <c r="AA989"/>
  <c r="AC279"/>
  <c r="AB965"/>
  <c r="AD965" s="1"/>
  <c r="N964"/>
  <c r="AB964" s="1"/>
  <c r="AD964" s="1"/>
  <c r="AC1021"/>
  <c r="AA1021"/>
  <c r="AC1032"/>
  <c r="AA1032"/>
  <c r="AB1205"/>
  <c r="AD1205" s="1"/>
  <c r="N1204"/>
  <c r="AB1204" s="1"/>
  <c r="AD1204" s="1"/>
  <c r="AD957"/>
  <c r="AB956"/>
  <c r="AD956" s="1"/>
  <c r="AA1019"/>
  <c r="AC1019"/>
  <c r="AD1207"/>
  <c r="AA1008"/>
  <c r="AC1008"/>
  <c r="AC1025"/>
  <c r="AA1025"/>
  <c r="AZ1086"/>
  <c r="BB1086" s="1"/>
  <c r="AZ1106"/>
  <c r="BB1106" s="1"/>
  <c r="U1122"/>
  <c r="W1122" s="1"/>
  <c r="U1134"/>
  <c r="W1134" s="1"/>
  <c r="AB72"/>
  <c r="AD72" s="1"/>
  <c r="N17"/>
  <c r="L17"/>
  <c r="AB30"/>
  <c r="AD30" s="1"/>
  <c r="N39"/>
  <c r="N44"/>
  <c r="AC54"/>
  <c r="AC78"/>
  <c r="AD114"/>
  <c r="N198"/>
  <c r="AB202"/>
  <c r="AD202" s="1"/>
  <c r="N210"/>
  <c r="AA211"/>
  <c r="AC211" s="1"/>
  <c r="AC234"/>
  <c r="AD326"/>
  <c r="AD372" s="1"/>
  <c r="AD538"/>
  <c r="AB578"/>
  <c r="AD578" s="1"/>
  <c r="P737"/>
  <c r="K792"/>
  <c r="AC797"/>
  <c r="AC965"/>
  <c r="AC970"/>
  <c r="AB1234"/>
  <c r="AD1234" s="1"/>
  <c r="K17"/>
  <c r="R17"/>
  <c r="AC29"/>
  <c r="M39"/>
  <c r="AA39" s="1"/>
  <c r="AC39" s="1"/>
  <c r="AB40"/>
  <c r="AD40" s="1"/>
  <c r="AC52"/>
  <c r="AD53"/>
  <c r="AC60"/>
  <c r="AD65"/>
  <c r="AC67"/>
  <c r="AC75"/>
  <c r="AB76"/>
  <c r="AD76" s="1"/>
  <c r="AD77"/>
  <c r="AB78"/>
  <c r="AD78" s="1"/>
  <c r="N90"/>
  <c r="AB93"/>
  <c r="AC95"/>
  <c r="AD96"/>
  <c r="AC97"/>
  <c r="AB98"/>
  <c r="AD98" s="1"/>
  <c r="AA100"/>
  <c r="AC100" s="1"/>
  <c r="AC102"/>
  <c r="AA103"/>
  <c r="AC103" s="1"/>
  <c r="AB111"/>
  <c r="AD111" s="1"/>
  <c r="AB122"/>
  <c r="AD122" s="1"/>
  <c r="AB130"/>
  <c r="AD130" s="1"/>
  <c r="Y136"/>
  <c r="AA136" s="1"/>
  <c r="AC136" s="1"/>
  <c r="Y139"/>
  <c r="AA139" s="1"/>
  <c r="AC139" s="1"/>
  <c r="AA144"/>
  <c r="AC144" s="1"/>
  <c r="AA145"/>
  <c r="AC145" s="1"/>
  <c r="AA146"/>
  <c r="AC146" s="1"/>
  <c r="AB177"/>
  <c r="AD177" s="1"/>
  <c r="AA178"/>
  <c r="AC178" s="1"/>
  <c r="AB181"/>
  <c r="AD181" s="1"/>
  <c r="AA182"/>
  <c r="AC182" s="1"/>
  <c r="AA184"/>
  <c r="AC184" s="1"/>
  <c r="AB196"/>
  <c r="AD196" s="1"/>
  <c r="AB221"/>
  <c r="AD221" s="1"/>
  <c r="AD234" s="1"/>
  <c r="AC312"/>
  <c r="AC320"/>
  <c r="AB390"/>
  <c r="AD390" s="1"/>
  <c r="AD396" s="1"/>
  <c r="AC408"/>
  <c r="P561"/>
  <c r="AB466"/>
  <c r="AD466" s="1"/>
  <c r="AB472"/>
  <c r="AD472" s="1"/>
  <c r="AB478"/>
  <c r="AD478" s="1"/>
  <c r="AB486"/>
  <c r="AD486" s="1"/>
  <c r="AB530"/>
  <c r="AD530" s="1"/>
  <c r="AB549"/>
  <c r="AD549" s="1"/>
  <c r="AB553"/>
  <c r="AD553" s="1"/>
  <c r="AD557"/>
  <c r="P611"/>
  <c r="AD579"/>
  <c r="Z792"/>
  <c r="AA800"/>
  <c r="AC800" s="1"/>
  <c r="AC821"/>
  <c r="AC890"/>
  <c r="AC897"/>
  <c r="AB967"/>
  <c r="AD967" s="1"/>
  <c r="AC969"/>
  <c r="AB973"/>
  <c r="AD973" s="1"/>
  <c r="AQ1060"/>
  <c r="U1150"/>
  <c r="W1150" s="1"/>
  <c r="AA1027"/>
  <c r="AC1027"/>
  <c r="AD1074"/>
  <c r="AB1073"/>
  <c r="AD54"/>
  <c r="AD70"/>
  <c r="AB374"/>
  <c r="AD374" s="1"/>
  <c r="AD379" s="1"/>
  <c r="AD388" s="1"/>
  <c r="AD20"/>
  <c r="AA143"/>
  <c r="AC143" s="1"/>
  <c r="AA177"/>
  <c r="AC177" s="1"/>
  <c r="AA179"/>
  <c r="AC179" s="1"/>
  <c r="AA181"/>
  <c r="AC181" s="1"/>
  <c r="Z210"/>
  <c r="AC255"/>
  <c r="AD585"/>
  <c r="P783"/>
  <c r="Z812"/>
  <c r="AC827"/>
  <c r="Q987"/>
  <c r="Y987" s="1"/>
  <c r="M1206"/>
  <c r="AA1206" s="1"/>
  <c r="AC25"/>
  <c r="AB35"/>
  <c r="AD35" s="1"/>
  <c r="AC41"/>
  <c r="AC49"/>
  <c r="AD57"/>
  <c r="AB63"/>
  <c r="AD63" s="1"/>
  <c r="AD67"/>
  <c r="AD68"/>
  <c r="AB69"/>
  <c r="AD69" s="1"/>
  <c r="AC70"/>
  <c r="AD71"/>
  <c r="L74"/>
  <c r="AB81"/>
  <c r="AB84"/>
  <c r="AD84" s="1"/>
  <c r="P80"/>
  <c r="AA93"/>
  <c r="AC93" s="1"/>
  <c r="AB95"/>
  <c r="AD95" s="1"/>
  <c r="AB97"/>
  <c r="AD97" s="1"/>
  <c r="L90"/>
  <c r="AB102"/>
  <c r="AD102" s="1"/>
  <c r="N108"/>
  <c r="L108"/>
  <c r="N118"/>
  <c r="AB121"/>
  <c r="AD121" s="1"/>
  <c r="AB123"/>
  <c r="AD123" s="1"/>
  <c r="AB128"/>
  <c r="AD128" s="1"/>
  <c r="AB129"/>
  <c r="AD129" s="1"/>
  <c r="AB131"/>
  <c r="AD131" s="1"/>
  <c r="AB137"/>
  <c r="AD137" s="1"/>
  <c r="Z139"/>
  <c r="AB139" s="1"/>
  <c r="AD139" s="1"/>
  <c r="AB144"/>
  <c r="AD144" s="1"/>
  <c r="AB145"/>
  <c r="AD145" s="1"/>
  <c r="AB146"/>
  <c r="AD146" s="1"/>
  <c r="AA147"/>
  <c r="AC147" s="1"/>
  <c r="AA149"/>
  <c r="AC149" s="1"/>
  <c r="AB150"/>
  <c r="AD150" s="1"/>
  <c r="AB151"/>
  <c r="AD151" s="1"/>
  <c r="AB152"/>
  <c r="AD152" s="1"/>
  <c r="AB153"/>
  <c r="AD153" s="1"/>
  <c r="AA164"/>
  <c r="AC164" s="1"/>
  <c r="AB167"/>
  <c r="AD167" s="1"/>
  <c r="O169"/>
  <c r="AB173"/>
  <c r="AD173" s="1"/>
  <c r="AB179"/>
  <c r="AD179" s="1"/>
  <c r="AA180"/>
  <c r="AC180" s="1"/>
  <c r="AB186"/>
  <c r="AD186" s="1"/>
  <c r="AA187"/>
  <c r="AC187" s="1"/>
  <c r="O188"/>
  <c r="AA194"/>
  <c r="AC194" s="1"/>
  <c r="Q217"/>
  <c r="AB315"/>
  <c r="AD315" s="1"/>
  <c r="AD320" s="1"/>
  <c r="AC379"/>
  <c r="Z382"/>
  <c r="AB382" s="1"/>
  <c r="AD382" s="1"/>
  <c r="AD384" s="1"/>
  <c r="AB416"/>
  <c r="AD416" s="1"/>
  <c r="AD420" s="1"/>
  <c r="AA424"/>
  <c r="AC424" s="1"/>
  <c r="AC425" s="1"/>
  <c r="AB456"/>
  <c r="AD456" s="1"/>
  <c r="AD515"/>
  <c r="AD517"/>
  <c r="AB536"/>
  <c r="AD536" s="1"/>
  <c r="AD559"/>
  <c r="AB596"/>
  <c r="AC807"/>
  <c r="AC834"/>
  <c r="AC836"/>
  <c r="AC952"/>
  <c r="AB971"/>
  <c r="AD971" s="1"/>
  <c r="AC973"/>
  <c r="AB981"/>
  <c r="AD981" s="1"/>
  <c r="AB1062"/>
  <c r="AD1062" s="1"/>
  <c r="BI1069"/>
  <c r="AA1010"/>
  <c r="AA1013"/>
  <c r="AA1038"/>
  <c r="BG1064"/>
  <c r="BI1064" s="1"/>
  <c r="BF1069"/>
  <c r="BH1069" s="1"/>
  <c r="BL1089"/>
  <c r="AD1188"/>
  <c r="AB1213"/>
  <c r="AD1213" s="1"/>
  <c r="AD1229"/>
  <c r="Y1311"/>
  <c r="N1317"/>
  <c r="R1317"/>
  <c r="Z1317" s="1"/>
  <c r="Q1326"/>
  <c r="P1336"/>
  <c r="N1450"/>
  <c r="O1466"/>
  <c r="N1470"/>
  <c r="Z1470"/>
  <c r="AB1483"/>
  <c r="AD1483" s="1"/>
  <c r="Q1484"/>
  <c r="M1491"/>
  <c r="M1490" s="1"/>
  <c r="N1492"/>
  <c r="M1493"/>
  <c r="M1498"/>
  <c r="AA1498" s="1"/>
  <c r="AC1498" s="1"/>
  <c r="O1499"/>
  <c r="M1500"/>
  <c r="AA1500" s="1"/>
  <c r="AC1500" s="1"/>
  <c r="AC1587"/>
  <c r="AD1590"/>
  <c r="AD1598"/>
  <c r="AB1605"/>
  <c r="AD1605" s="1"/>
  <c r="AD1641"/>
  <c r="N1645"/>
  <c r="AD1652"/>
  <c r="L1655"/>
  <c r="AC1662"/>
  <c r="AD1673"/>
  <c r="AC1709"/>
  <c r="AD1715"/>
  <c r="AD1724"/>
  <c r="AD1725" s="1"/>
  <c r="AC1743"/>
  <c r="AC1745" s="1"/>
  <c r="AD1774"/>
  <c r="L1794"/>
  <c r="AD1491"/>
  <c r="AD1490" s="1"/>
  <c r="AD1592"/>
  <c r="AD1600"/>
  <c r="L1628"/>
  <c r="AB1794"/>
  <c r="AB513"/>
  <c r="AD513" s="1"/>
  <c r="AD520"/>
  <c r="AB524"/>
  <c r="AD524" s="1"/>
  <c r="N583"/>
  <c r="AB583" s="1"/>
  <c r="AD583" s="1"/>
  <c r="L737"/>
  <c r="M737" s="1"/>
  <c r="AD781"/>
  <c r="AD782" s="1"/>
  <c r="AD776"/>
  <c r="AA796"/>
  <c r="AC796" s="1"/>
  <c r="AC799"/>
  <c r="AA809"/>
  <c r="AC809" s="1"/>
  <c r="AA811"/>
  <c r="AC811" s="1"/>
  <c r="K816"/>
  <c r="L824"/>
  <c r="AB842"/>
  <c r="AB909"/>
  <c r="AD909" s="1"/>
  <c r="AA912"/>
  <c r="AC912" s="1"/>
  <c r="AD933"/>
  <c r="AD938"/>
  <c r="P960"/>
  <c r="AC947"/>
  <c r="AD948"/>
  <c r="AC950"/>
  <c r="AB975"/>
  <c r="AD975" s="1"/>
  <c r="AB987"/>
  <c r="AD987" s="1"/>
  <c r="AD1036"/>
  <c r="AB1055"/>
  <c r="AD1055" s="1"/>
  <c r="AA1057"/>
  <c r="AC1057" s="1"/>
  <c r="AB1058"/>
  <c r="AD1058" s="1"/>
  <c r="BE1060"/>
  <c r="BI1062"/>
  <c r="Q1062"/>
  <c r="P1062"/>
  <c r="AB1064"/>
  <c r="AD1064" s="1"/>
  <c r="AA1070"/>
  <c r="AC1070" s="1"/>
  <c r="BB1087"/>
  <c r="BB1103"/>
  <c r="W1117"/>
  <c r="W1120"/>
  <c r="W1129"/>
  <c r="U1139"/>
  <c r="W1139" s="1"/>
  <c r="W1140"/>
  <c r="AB1184"/>
  <c r="AD1184" s="1"/>
  <c r="AB1191"/>
  <c r="AD1191" s="1"/>
  <c r="AB1212"/>
  <c r="AD1212" s="1"/>
  <c r="AB1217"/>
  <c r="AD1217" s="1"/>
  <c r="AB1218"/>
  <c r="AD1218" s="1"/>
  <c r="AB1219"/>
  <c r="AD1219" s="1"/>
  <c r="AB1221"/>
  <c r="AD1221" s="1"/>
  <c r="AB1222"/>
  <c r="AD1222" s="1"/>
  <c r="AB1223"/>
  <c r="AD1223" s="1"/>
  <c r="AB1225"/>
  <c r="AD1225" s="1"/>
  <c r="AB1226"/>
  <c r="AD1226" s="1"/>
  <c r="AB1227"/>
  <c r="AD1227" s="1"/>
  <c r="AB1259"/>
  <c r="AD1259" s="1"/>
  <c r="N1277"/>
  <c r="AB1277" s="1"/>
  <c r="AD1277" s="1"/>
  <c r="S1290"/>
  <c r="S1293"/>
  <c r="Y1293" s="1"/>
  <c r="AA1293" s="1"/>
  <c r="AC1293" s="1"/>
  <c r="AB1294"/>
  <c r="AD1294" s="1"/>
  <c r="U1294"/>
  <c r="AB1295"/>
  <c r="AD1295" s="1"/>
  <c r="S1297"/>
  <c r="Y1297" s="1"/>
  <c r="AA1297" s="1"/>
  <c r="AC1297" s="1"/>
  <c r="AB1299"/>
  <c r="AD1299" s="1"/>
  <c r="AD1316"/>
  <c r="P1317"/>
  <c r="S1320"/>
  <c r="N1336"/>
  <c r="AB1337"/>
  <c r="AD1337" s="1"/>
  <c r="S1338"/>
  <c r="AB1459"/>
  <c r="AD1459" s="1"/>
  <c r="AD1465"/>
  <c r="AD1469"/>
  <c r="P1470"/>
  <c r="M1481"/>
  <c r="AA1481" s="1"/>
  <c r="AC1481" s="1"/>
  <c r="Q1481"/>
  <c r="M1482"/>
  <c r="AA1482" s="1"/>
  <c r="AC1482" s="1"/>
  <c r="O1486"/>
  <c r="AD1487"/>
  <c r="AD1486" s="1"/>
  <c r="Y1494"/>
  <c r="AD1498"/>
  <c r="AD1499"/>
  <c r="M1503"/>
  <c r="AA1503" s="1"/>
  <c r="AC1503" s="1"/>
  <c r="M1508"/>
  <c r="AA1508" s="1"/>
  <c r="AC1508" s="1"/>
  <c r="M1510"/>
  <c r="AA1510" s="1"/>
  <c r="AC1510" s="1"/>
  <c r="M1512"/>
  <c r="AA1512" s="1"/>
  <c r="AC1512" s="1"/>
  <c r="M1514"/>
  <c r="AA1514" s="1"/>
  <c r="AC1514" s="1"/>
  <c r="P1492"/>
  <c r="AB1516"/>
  <c r="AD1516" s="1"/>
  <c r="Z1528"/>
  <c r="Z1548"/>
  <c r="Y1561"/>
  <c r="AB1567"/>
  <c r="AB1585"/>
  <c r="AD1585" s="1"/>
  <c r="AC1588"/>
  <c r="AB1601"/>
  <c r="AD1601" s="1"/>
  <c r="AC1606"/>
  <c r="AB1609"/>
  <c r="AD1609" s="1"/>
  <c r="N1612"/>
  <c r="AB1612" s="1"/>
  <c r="AD1612" s="1"/>
  <c r="AB1617"/>
  <c r="AD1617" s="1"/>
  <c r="AB1638"/>
  <c r="AD1638" s="1"/>
  <c r="AD1639" s="1"/>
  <c r="AD1660"/>
  <c r="AC1661"/>
  <c r="AC1664" s="1"/>
  <c r="AB1668"/>
  <c r="AD1668" s="1"/>
  <c r="AB1669"/>
  <c r="AD1669" s="1"/>
  <c r="AD1700"/>
  <c r="AD1736"/>
  <c r="AC1737"/>
  <c r="AC1740" s="1"/>
  <c r="AB1744"/>
  <c r="AD1744" s="1"/>
  <c r="AB1748"/>
  <c r="AD1748" s="1"/>
  <c r="AD1749" s="1"/>
  <c r="AB1763"/>
  <c r="AD1763" s="1"/>
  <c r="AB1771"/>
  <c r="AD1771" s="1"/>
  <c r="AC1784"/>
  <c r="AC1785" s="1"/>
  <c r="AD1790"/>
  <c r="AD1796"/>
  <c r="AB1003"/>
  <c r="AD1003" s="1"/>
  <c r="Q1006"/>
  <c r="Y1006" s="1"/>
  <c r="AB1011"/>
  <c r="AD1011" s="1"/>
  <c r="AA1058"/>
  <c r="AC1058" s="1"/>
  <c r="AD1099"/>
  <c r="U1108"/>
  <c r="W1108" s="1"/>
  <c r="W1112"/>
  <c r="U1116"/>
  <c r="W1116" s="1"/>
  <c r="AG1114"/>
  <c r="W1118"/>
  <c r="U1127"/>
  <c r="W1127" s="1"/>
  <c r="W1154"/>
  <c r="W1155"/>
  <c r="AD1189"/>
  <c r="AB1203"/>
  <c r="AD1203" s="1"/>
  <c r="AC1210"/>
  <c r="AC1235" s="1"/>
  <c r="AC1236" s="1"/>
  <c r="AB1250"/>
  <c r="AD1250" s="1"/>
  <c r="AB1252"/>
  <c r="AD1252" s="1"/>
  <c r="AB1253"/>
  <c r="AD1253" s="1"/>
  <c r="AB1254"/>
  <c r="AD1254" s="1"/>
  <c r="N1251"/>
  <c r="AB1251" s="1"/>
  <c r="AD1251" s="1"/>
  <c r="AB1256"/>
  <c r="AD1256" s="1"/>
  <c r="AB1269"/>
  <c r="AD1269" s="1"/>
  <c r="AB1280"/>
  <c r="AB1289"/>
  <c r="AD1289" s="1"/>
  <c r="U1292"/>
  <c r="S1294"/>
  <c r="Y1294" s="1"/>
  <c r="AA1294" s="1"/>
  <c r="AC1294" s="1"/>
  <c r="U1299"/>
  <c r="N1302"/>
  <c r="AB1302" s="1"/>
  <c r="AD1302" s="1"/>
  <c r="W1302"/>
  <c r="AD1311"/>
  <c r="S1328"/>
  <c r="R1336"/>
  <c r="U1337"/>
  <c r="Z1338"/>
  <c r="AB1338" s="1"/>
  <c r="AD1338" s="1"/>
  <c r="L1458"/>
  <c r="Q1460"/>
  <c r="O1461"/>
  <c r="O1462"/>
  <c r="O1463"/>
  <c r="O1464"/>
  <c r="O1465"/>
  <c r="AD1466"/>
  <c r="O1469"/>
  <c r="AD1484"/>
  <c r="Y1484"/>
  <c r="AA1484" s="1"/>
  <c r="AC1484" s="1"/>
  <c r="Q1485"/>
  <c r="AB1486"/>
  <c r="Y1493"/>
  <c r="M1496"/>
  <c r="AA1496" s="1"/>
  <c r="AC1496" s="1"/>
  <c r="O1498"/>
  <c r="AD1500"/>
  <c r="AB1504"/>
  <c r="Y1528"/>
  <c r="AB1582"/>
  <c r="AD1582" s="1"/>
  <c r="AB1584"/>
  <c r="AD1584" s="1"/>
  <c r="AB1587"/>
  <c r="AD1587" s="1"/>
  <c r="AB1589"/>
  <c r="AD1589" s="1"/>
  <c r="AB1607"/>
  <c r="AD1607" s="1"/>
  <c r="AB1608"/>
  <c r="AD1608" s="1"/>
  <c r="AC1608"/>
  <c r="AB1624"/>
  <c r="AD1624" s="1"/>
  <c r="AD1626" s="1"/>
  <c r="AD1631"/>
  <c r="AB1646"/>
  <c r="AD1646" s="1"/>
  <c r="AD1657"/>
  <c r="AB1662"/>
  <c r="AB1676"/>
  <c r="AD1676" s="1"/>
  <c r="AD1684"/>
  <c r="AB1693"/>
  <c r="AD1693" s="1"/>
  <c r="L1695"/>
  <c r="N1711"/>
  <c r="AB1711" s="1"/>
  <c r="AD1711" s="1"/>
  <c r="AB1713"/>
  <c r="AD1713" s="1"/>
  <c r="N1718"/>
  <c r="AB1718" s="1"/>
  <c r="AD1718" s="1"/>
  <c r="N1723"/>
  <c r="AB1723" s="1"/>
  <c r="AD1723" s="1"/>
  <c r="AB1727"/>
  <c r="AD1727" s="1"/>
  <c r="AD1738"/>
  <c r="AB1761"/>
  <c r="AC1763"/>
  <c r="N1780"/>
  <c r="AB1780" s="1"/>
  <c r="AD1780" s="1"/>
  <c r="AD93"/>
  <c r="AC892"/>
  <c r="AB23"/>
  <c r="AD23" s="1"/>
  <c r="AB25"/>
  <c r="AD25" s="1"/>
  <c r="Z44"/>
  <c r="AA176"/>
  <c r="AC176" s="1"/>
  <c r="AD18"/>
  <c r="AD48"/>
  <c r="AA90"/>
  <c r="AC90" s="1"/>
  <c r="AD60"/>
  <c r="AD81"/>
  <c r="AB74"/>
  <c r="AD119"/>
  <c r="AB19"/>
  <c r="AD19" s="1"/>
  <c r="AB21"/>
  <c r="AD21" s="1"/>
  <c r="AB28"/>
  <c r="AD28" s="1"/>
  <c r="L44"/>
  <c r="AA80"/>
  <c r="AC80" s="1"/>
  <c r="AC271"/>
  <c r="AC299"/>
  <c r="AC741"/>
  <c r="AB191"/>
  <c r="AD191" s="1"/>
  <c r="Z190"/>
  <c r="AB190" s="1"/>
  <c r="AD190" s="1"/>
  <c r="AA995"/>
  <c r="AC995"/>
  <c r="AB201"/>
  <c r="AD201" s="1"/>
  <c r="Z198"/>
  <c r="O206"/>
  <c r="O205" s="1"/>
  <c r="M205"/>
  <c r="AA205" s="1"/>
  <c r="AC205" s="1"/>
  <c r="AB216"/>
  <c r="AD216" s="1"/>
  <c r="Z215"/>
  <c r="AB215" s="1"/>
  <c r="AD215" s="1"/>
  <c r="N507"/>
  <c r="AB508"/>
  <c r="AD508" s="1"/>
  <c r="AD596"/>
  <c r="AC992"/>
  <c r="AA992"/>
  <c r="AC1001"/>
  <c r="AA1001"/>
  <c r="AA1051"/>
  <c r="AC1051" s="1"/>
  <c r="Y1049"/>
  <c r="AB51"/>
  <c r="AD51" s="1"/>
  <c r="AB82"/>
  <c r="AD82" s="1"/>
  <c r="AA174"/>
  <c r="AC174" s="1"/>
  <c r="AA175"/>
  <c r="AC175" s="1"/>
  <c r="Z37"/>
  <c r="Z34" s="1"/>
  <c r="N136"/>
  <c r="AB136" s="1"/>
  <c r="AD136" s="1"/>
  <c r="Z143"/>
  <c r="AB143" s="1"/>
  <c r="AD143" s="1"/>
  <c r="Z155"/>
  <c r="AA191"/>
  <c r="AC191" s="1"/>
  <c r="AA192"/>
  <c r="AC192" s="1"/>
  <c r="AA196"/>
  <c r="AC196" s="1"/>
  <c r="AA198"/>
  <c r="AC198" s="1"/>
  <c r="AA204"/>
  <c r="AC204" s="1"/>
  <c r="AA206"/>
  <c r="AC206" s="1"/>
  <c r="AA207"/>
  <c r="AC207" s="1"/>
  <c r="AB213"/>
  <c r="AD213" s="1"/>
  <c r="M215"/>
  <c r="AA215" s="1"/>
  <c r="AC215" s="1"/>
  <c r="R217"/>
  <c r="AB322"/>
  <c r="AD322" s="1"/>
  <c r="AD325" s="1"/>
  <c r="AC396"/>
  <c r="AB398"/>
  <c r="AD398" s="1"/>
  <c r="AD408" s="1"/>
  <c r="AD567"/>
  <c r="AC609"/>
  <c r="AC610" s="1"/>
  <c r="AB595"/>
  <c r="AD595" s="1"/>
  <c r="M792"/>
  <c r="AA792" s="1"/>
  <c r="Y635"/>
  <c r="AB635"/>
  <c r="AD635" s="1"/>
  <c r="Y816"/>
  <c r="AA818"/>
  <c r="AC818" s="1"/>
  <c r="AA994"/>
  <c r="AC994"/>
  <c r="AC1312"/>
  <c r="AA1311"/>
  <c r="AD1367"/>
  <c r="AB1364"/>
  <c r="AE1472"/>
  <c r="AE1468"/>
  <c r="AE1471"/>
  <c r="M561"/>
  <c r="AA507"/>
  <c r="AC507" s="1"/>
  <c r="AD793"/>
  <c r="AD865"/>
  <c r="AB864"/>
  <c r="AA1033"/>
  <c r="AC1033"/>
  <c r="AA1034"/>
  <c r="AC1034"/>
  <c r="AA1056"/>
  <c r="AC1056" s="1"/>
  <c r="M1049"/>
  <c r="AB120"/>
  <c r="AD120" s="1"/>
  <c r="M17"/>
  <c r="AA17" s="1"/>
  <c r="AC17" s="1"/>
  <c r="Z80"/>
  <c r="Z108"/>
  <c r="Z166"/>
  <c r="AB166" s="1"/>
  <c r="AD166" s="1"/>
  <c r="AA202"/>
  <c r="AC202" s="1"/>
  <c r="AD257"/>
  <c r="AD259" s="1"/>
  <c r="AB507"/>
  <c r="AD507" s="1"/>
  <c r="AC781"/>
  <c r="AC782" s="1"/>
  <c r="AC1003"/>
  <c r="AB204"/>
  <c r="AD204" s="1"/>
  <c r="Z203"/>
  <c r="AB203" s="1"/>
  <c r="AD203" s="1"/>
  <c r="AB206"/>
  <c r="AD206" s="1"/>
  <c r="Z205"/>
  <c r="Y387"/>
  <c r="AA387" s="1"/>
  <c r="AC387" s="1"/>
  <c r="AC388" s="1"/>
  <c r="AA386"/>
  <c r="AC386" s="1"/>
  <c r="Y561"/>
  <c r="AA451"/>
  <c r="AC1024"/>
  <c r="AA1024"/>
  <c r="AC1037"/>
  <c r="AA1037"/>
  <c r="AE1512"/>
  <c r="AE1513" s="1"/>
  <c r="AE1514" s="1"/>
  <c r="AE1515" s="1"/>
  <c r="AE1504"/>
  <c r="AE1507" s="1"/>
  <c r="AE1508" s="1"/>
  <c r="AE1509" s="1"/>
  <c r="AE1510" s="1"/>
  <c r="AE1511" s="1"/>
  <c r="O213"/>
  <c r="O210" s="1"/>
  <c r="M210"/>
  <c r="AA210" s="1"/>
  <c r="AC210" s="1"/>
  <c r="Z816"/>
  <c r="AB817"/>
  <c r="AD823"/>
  <c r="AB822"/>
  <c r="AD822" s="1"/>
  <c r="AB940"/>
  <c r="AD941"/>
  <c r="AC1016"/>
  <c r="AA1016"/>
  <c r="U1111"/>
  <c r="W1111" s="1"/>
  <c r="U1119"/>
  <c r="W1119" s="1"/>
  <c r="U1145"/>
  <c r="W1145" s="1"/>
  <c r="T1271"/>
  <c r="Z1271" s="1"/>
  <c r="Z1268"/>
  <c r="AB1268" s="1"/>
  <c r="AD1268" s="1"/>
  <c r="Z74"/>
  <c r="Z176"/>
  <c r="AB176" s="1"/>
  <c r="AD176" s="1"/>
  <c r="Z184"/>
  <c r="AB184" s="1"/>
  <c r="AD184" s="1"/>
  <c r="AA213"/>
  <c r="AC213" s="1"/>
  <c r="AC288"/>
  <c r="AC372"/>
  <c r="AB857"/>
  <c r="AD858"/>
  <c r="AD869"/>
  <c r="AC988"/>
  <c r="AA988"/>
  <c r="AA990"/>
  <c r="AC990"/>
  <c r="AC1000"/>
  <c r="AA1000"/>
  <c r="AC1004"/>
  <c r="AA1004"/>
  <c r="AC1009"/>
  <c r="AA1009"/>
  <c r="AA1022"/>
  <c r="AC1022"/>
  <c r="AC1031"/>
  <c r="AA1031"/>
  <c r="AB1057"/>
  <c r="AD1057" s="1"/>
  <c r="N1049"/>
  <c r="AZ1101"/>
  <c r="BB1101" s="1"/>
  <c r="S1291"/>
  <c r="U1291"/>
  <c r="P1288"/>
  <c r="W1291"/>
  <c r="S1295"/>
  <c r="W1295"/>
  <c r="Q1295"/>
  <c r="U1295"/>
  <c r="Q654"/>
  <c r="Q662"/>
  <c r="Q714"/>
  <c r="R737"/>
  <c r="Q985"/>
  <c r="AD983" s="1"/>
  <c r="AD984" s="1"/>
  <c r="AB1006"/>
  <c r="AD1006" s="1"/>
  <c r="R1049"/>
  <c r="AA1060"/>
  <c r="AC1060" s="1"/>
  <c r="BI1063"/>
  <c r="Z561"/>
  <c r="Y651"/>
  <c r="AB651"/>
  <c r="AD651" s="1"/>
  <c r="AB688"/>
  <c r="AD688" s="1"/>
  <c r="Y688"/>
  <c r="Y812"/>
  <c r="AA815"/>
  <c r="AC817"/>
  <c r="AD825"/>
  <c r="AB824"/>
  <c r="AC996"/>
  <c r="AA996"/>
  <c r="AC1012"/>
  <c r="AA1012"/>
  <c r="AA1018"/>
  <c r="AC1018"/>
  <c r="AA1026"/>
  <c r="AC1026"/>
  <c r="Z1029"/>
  <c r="AB1029" s="1"/>
  <c r="AD1029" s="1"/>
  <c r="Q1029"/>
  <c r="Y1029" s="1"/>
  <c r="AC1035"/>
  <c r="AA1035"/>
  <c r="AB1050"/>
  <c r="AD1050" s="1"/>
  <c r="Z1049"/>
  <c r="BI1068"/>
  <c r="AB291"/>
  <c r="AD291" s="1"/>
  <c r="AD299" s="1"/>
  <c r="AB410"/>
  <c r="AD410" s="1"/>
  <c r="AC420"/>
  <c r="N451"/>
  <c r="N477"/>
  <c r="AB477" s="1"/>
  <c r="AD477" s="1"/>
  <c r="AD541"/>
  <c r="AD545"/>
  <c r="AD616"/>
  <c r="Q635"/>
  <c r="Z741"/>
  <c r="AB741" s="1"/>
  <c r="AC823"/>
  <c r="AD843"/>
  <c r="Z916"/>
  <c r="AA914"/>
  <c r="AC914" s="1"/>
  <c r="AC991"/>
  <c r="AC1023"/>
  <c r="AC1036"/>
  <c r="BG1065"/>
  <c r="BI1065" s="1"/>
  <c r="AB654"/>
  <c r="Y654"/>
  <c r="AB662"/>
  <c r="AD662" s="1"/>
  <c r="Y662"/>
  <c r="Y714"/>
  <c r="AB714"/>
  <c r="AD714" s="1"/>
  <c r="AD821"/>
  <c r="AB820"/>
  <c r="AD838"/>
  <c r="AB837"/>
  <c r="AA998"/>
  <c r="AC998"/>
  <c r="AA1007"/>
  <c r="AC1007"/>
  <c r="AC1020"/>
  <c r="AA1020"/>
  <c r="AC1028"/>
  <c r="AA1028"/>
  <c r="BI1061"/>
  <c r="AD1080"/>
  <c r="AB1079"/>
  <c r="AD1096"/>
  <c r="AB1095"/>
  <c r="AZ1105"/>
  <c r="BB1105" s="1"/>
  <c r="U1115"/>
  <c r="W1115" s="1"/>
  <c r="AD534"/>
  <c r="Q651"/>
  <c r="Q688"/>
  <c r="Z737"/>
  <c r="AB763"/>
  <c r="AD763" s="1"/>
  <c r="AB779"/>
  <c r="AD779" s="1"/>
  <c r="AB798"/>
  <c r="AD798" s="1"/>
  <c r="AC831"/>
  <c r="AB966"/>
  <c r="AD966" s="1"/>
  <c r="AB968"/>
  <c r="AD968" s="1"/>
  <c r="AB970"/>
  <c r="AD970" s="1"/>
  <c r="AB972"/>
  <c r="AD972" s="1"/>
  <c r="AB974"/>
  <c r="AD974" s="1"/>
  <c r="AB1015"/>
  <c r="AD1015" s="1"/>
  <c r="BL1083"/>
  <c r="P1104"/>
  <c r="AU1089" s="1"/>
  <c r="BB1085"/>
  <c r="BD1085" s="1"/>
  <c r="BF1085" s="1"/>
  <c r="BH1085" s="1"/>
  <c r="U1107"/>
  <c r="W1107" s="1"/>
  <c r="AB1135"/>
  <c r="AD1135" s="1"/>
  <c r="Z1134"/>
  <c r="AB1134" s="1"/>
  <c r="AD1134" s="1"/>
  <c r="U1141"/>
  <c r="W1141" s="1"/>
  <c r="AB1152"/>
  <c r="AD1152" s="1"/>
  <c r="Z1151"/>
  <c r="AB1151" s="1"/>
  <c r="AD1151" s="1"/>
  <c r="U1156"/>
  <c r="W1156" s="1"/>
  <c r="R1288"/>
  <c r="Z1288" s="1"/>
  <c r="Z1290"/>
  <c r="AB1290" s="1"/>
  <c r="AD1290" s="1"/>
  <c r="N1288"/>
  <c r="AB1292"/>
  <c r="AD1292" s="1"/>
  <c r="AB424"/>
  <c r="AD424" s="1"/>
  <c r="R561"/>
  <c r="N976"/>
  <c r="AB976" s="1"/>
  <c r="AD976" s="1"/>
  <c r="M1062"/>
  <c r="AA1062" s="1"/>
  <c r="AC1062" s="1"/>
  <c r="BB1102"/>
  <c r="W1133"/>
  <c r="AB1215"/>
  <c r="AD1215" s="1"/>
  <c r="AB1232"/>
  <c r="AD1232" s="1"/>
  <c r="AB1296"/>
  <c r="AD1296" s="1"/>
  <c r="AB1297"/>
  <c r="AD1297" s="1"/>
  <c r="AD1085"/>
  <c r="AB1083"/>
  <c r="U1123"/>
  <c r="W1123" s="1"/>
  <c r="U1130"/>
  <c r="W1130" s="1"/>
  <c r="U1135"/>
  <c r="W1135" s="1"/>
  <c r="AB1141"/>
  <c r="AD1141" s="1"/>
  <c r="Z1139"/>
  <c r="AB1139" s="1"/>
  <c r="AD1139" s="1"/>
  <c r="U1152"/>
  <c r="W1152" s="1"/>
  <c r="N1267"/>
  <c r="AB1267" s="1"/>
  <c r="AD1267" s="1"/>
  <c r="AB1271"/>
  <c r="AD1271" s="1"/>
  <c r="BB1088"/>
  <c r="W1110"/>
  <c r="W1144"/>
  <c r="AD1214"/>
  <c r="Z1239"/>
  <c r="AB1239" s="1"/>
  <c r="AD1239" s="1"/>
  <c r="AB1274"/>
  <c r="AD1274" s="1"/>
  <c r="L1288"/>
  <c r="AB1293"/>
  <c r="AD1293" s="1"/>
  <c r="AD1090"/>
  <c r="AB1089"/>
  <c r="U1149"/>
  <c r="W1149" s="1"/>
  <c r="S1298"/>
  <c r="U1298"/>
  <c r="BG1089"/>
  <c r="BI1089" s="1"/>
  <c r="N1165"/>
  <c r="AB1165" s="1"/>
  <c r="AD1165" s="1"/>
  <c r="AB1190"/>
  <c r="AD1190" s="1"/>
  <c r="AD1230"/>
  <c r="AB1262"/>
  <c r="AD1262" s="1"/>
  <c r="AB1275"/>
  <c r="AD1275" s="1"/>
  <c r="U1114"/>
  <c r="W1114" s="1"/>
  <c r="W1124"/>
  <c r="U1289"/>
  <c r="W1292"/>
  <c r="W1299"/>
  <c r="AA1461"/>
  <c r="AC1461" s="1"/>
  <c r="AA1462"/>
  <c r="AC1462" s="1"/>
  <c r="AA1464"/>
  <c r="AC1464" s="1"/>
  <c r="AC1671"/>
  <c r="Z1458"/>
  <c r="Y1460"/>
  <c r="W1136"/>
  <c r="W1142"/>
  <c r="W1146"/>
  <c r="W1153"/>
  <c r="AB1306"/>
  <c r="AD1306" s="1"/>
  <c r="AB1307"/>
  <c r="AD1307" s="1"/>
  <c r="AB1327"/>
  <c r="AD1327" s="1"/>
  <c r="AB1318"/>
  <c r="AD1318" s="1"/>
  <c r="AB1319"/>
  <c r="AD1319" s="1"/>
  <c r="AB1321"/>
  <c r="AD1321" s="1"/>
  <c r="M1495"/>
  <c r="AA1495" s="1"/>
  <c r="AC1495" s="1"/>
  <c r="O1495"/>
  <c r="AA1542"/>
  <c r="AC1542" s="1"/>
  <c r="Y1540"/>
  <c r="S1303"/>
  <c r="Q1306"/>
  <c r="W1306"/>
  <c r="W1307"/>
  <c r="Y1307" s="1"/>
  <c r="AA1307" s="1"/>
  <c r="AC1307" s="1"/>
  <c r="W1318"/>
  <c r="U1320"/>
  <c r="S1321"/>
  <c r="S1326"/>
  <c r="Z1326"/>
  <c r="AB1326" s="1"/>
  <c r="AD1326" s="1"/>
  <c r="Q1327"/>
  <c r="W1327"/>
  <c r="S1337"/>
  <c r="Y1337" s="1"/>
  <c r="AA1337" s="1"/>
  <c r="AC1337" s="1"/>
  <c r="Q1338"/>
  <c r="AB1352"/>
  <c r="Y1465"/>
  <c r="AA1465" s="1"/>
  <c r="AC1465" s="1"/>
  <c r="Y1466"/>
  <c r="AA1466" s="1"/>
  <c r="AC1466" s="1"/>
  <c r="Y1467"/>
  <c r="AA1467" s="1"/>
  <c r="AC1467" s="1"/>
  <c r="Y1468"/>
  <c r="AA1468" s="1"/>
  <c r="AC1468" s="1"/>
  <c r="Y1469"/>
  <c r="AA1469" s="1"/>
  <c r="AC1469" s="1"/>
  <c r="AD1480"/>
  <c r="AA1483"/>
  <c r="AC1483" s="1"/>
  <c r="AD1489"/>
  <c r="AD1497"/>
  <c r="AD1502"/>
  <c r="AB1507"/>
  <c r="M1509"/>
  <c r="AA1509" s="1"/>
  <c r="AC1509" s="1"/>
  <c r="AB1511"/>
  <c r="AA1528"/>
  <c r="AA1561"/>
  <c r="AB1580"/>
  <c r="AD1580" s="1"/>
  <c r="N1578"/>
  <c r="AB1578" s="1"/>
  <c r="AD1578" s="1"/>
  <c r="AB1583"/>
  <c r="AD1583" s="1"/>
  <c r="AB1618"/>
  <c r="AD1618" s="1"/>
  <c r="AD1620" s="1"/>
  <c r="AC1633"/>
  <c r="AB1645"/>
  <c r="AD1645" s="1"/>
  <c r="AC1648"/>
  <c r="AB1667"/>
  <c r="AD1667" s="1"/>
  <c r="AB1690"/>
  <c r="AD1690" s="1"/>
  <c r="AB1692"/>
  <c r="AD1692" s="1"/>
  <c r="AB1694"/>
  <c r="AD1694" s="1"/>
  <c r="AB1698"/>
  <c r="AD1698" s="1"/>
  <c r="AC1714"/>
  <c r="AC1716" s="1"/>
  <c r="AC1733"/>
  <c r="AB1731"/>
  <c r="AD1731" s="1"/>
  <c r="AD1747"/>
  <c r="AD1766"/>
  <c r="AB1787"/>
  <c r="AD1787" s="1"/>
  <c r="AC1790"/>
  <c r="AC1792" s="1"/>
  <c r="AC1471"/>
  <c r="M1494"/>
  <c r="AA1494" s="1"/>
  <c r="AC1494" s="1"/>
  <c r="O1494"/>
  <c r="L1492"/>
  <c r="AA1547"/>
  <c r="Y1545"/>
  <c r="Z1561"/>
  <c r="AB1562"/>
  <c r="W1304"/>
  <c r="U1306"/>
  <c r="U1327"/>
  <c r="W1328"/>
  <c r="Q1461"/>
  <c r="Q1462"/>
  <c r="Q1463"/>
  <c r="Q1464"/>
  <c r="Q1465"/>
  <c r="Q1466"/>
  <c r="Q1467"/>
  <c r="Q1468"/>
  <c r="Q1469"/>
  <c r="AD1494"/>
  <c r="AC1580"/>
  <c r="AB1656"/>
  <c r="AD1656" s="1"/>
  <c r="AD1662"/>
  <c r="AD1663"/>
  <c r="AC1690"/>
  <c r="AD1707"/>
  <c r="AD1709" s="1"/>
  <c r="AB1737"/>
  <c r="AD1737" s="1"/>
  <c r="AB1742"/>
  <c r="AB1743"/>
  <c r="AD1743" s="1"/>
  <c r="AD1797"/>
  <c r="AD1471"/>
  <c r="Y1485"/>
  <c r="AB1485"/>
  <c r="AD1485" s="1"/>
  <c r="AD1493"/>
  <c r="AD1541"/>
  <c r="AB1540"/>
  <c r="AD1550"/>
  <c r="AB1548"/>
  <c r="AA1567"/>
  <c r="AC1568"/>
  <c r="W1303"/>
  <c r="U1304"/>
  <c r="W1321"/>
  <c r="W1326"/>
  <c r="Q1328"/>
  <c r="AE1489"/>
  <c r="AD1703"/>
  <c r="M1489"/>
  <c r="L1488"/>
  <c r="AD1488" s="1"/>
  <c r="O1489"/>
  <c r="M1497"/>
  <c r="AA1497" s="1"/>
  <c r="AC1497" s="1"/>
  <c r="O1497"/>
  <c r="M1502"/>
  <c r="AA1502" s="1"/>
  <c r="AC1502" s="1"/>
  <c r="O1502"/>
  <c r="M1506"/>
  <c r="AA1506" s="1"/>
  <c r="AC1506" s="1"/>
  <c r="AB1506"/>
  <c r="AD1506" s="1"/>
  <c r="M1513"/>
  <c r="AA1513" s="1"/>
  <c r="AC1513" s="1"/>
  <c r="O1513"/>
  <c r="AB1528"/>
  <c r="AD1529"/>
  <c r="AD1546"/>
  <c r="AB1545"/>
  <c r="AA1550"/>
  <c r="AC1550" s="1"/>
  <c r="Y1548"/>
  <c r="AB1599"/>
  <c r="AD1599" s="1"/>
  <c r="N1596"/>
  <c r="AB1596" s="1"/>
  <c r="Z1364"/>
  <c r="Z1450" s="1"/>
  <c r="AB1375"/>
  <c r="P1458"/>
  <c r="P1517" s="1"/>
  <c r="M1459"/>
  <c r="AA1459" s="1"/>
  <c r="AD1513"/>
  <c r="AB1628"/>
  <c r="AB1633"/>
  <c r="AD1633" s="1"/>
  <c r="AB1637"/>
  <c r="AD1637" s="1"/>
  <c r="AB1642"/>
  <c r="AD1642" s="1"/>
  <c r="AD1643" s="1"/>
  <c r="AB1650"/>
  <c r="AB1651"/>
  <c r="AD1651" s="1"/>
  <c r="AD1653" s="1"/>
  <c r="AB1681"/>
  <c r="AD1681" s="1"/>
  <c r="AD1682" s="1"/>
  <c r="AD1685"/>
  <c r="AD1686" s="1"/>
  <c r="AD1706"/>
  <c r="AB1714"/>
  <c r="AD1714" s="1"/>
  <c r="AB1719"/>
  <c r="AD1719" s="1"/>
  <c r="AD1721" s="1"/>
  <c r="AB1752"/>
  <c r="AD1752" s="1"/>
  <c r="AD1753" s="1"/>
  <c r="L1755"/>
  <c r="AC1778"/>
  <c r="AD1777"/>
  <c r="AD1791"/>
  <c r="AB1795"/>
  <c r="AD1795" s="1"/>
  <c r="AC1798"/>
  <c r="Q1499"/>
  <c r="AB1509"/>
  <c r="M1480"/>
  <c r="AA1480" s="1"/>
  <c r="AC1480" s="1"/>
  <c r="Z1492"/>
  <c r="Q1501"/>
  <c r="Q1515"/>
  <c r="M1516"/>
  <c r="AA1516" s="1"/>
  <c r="AC1516" s="1"/>
  <c r="Y1328" l="1"/>
  <c r="AA1328" s="1"/>
  <c r="AC1328" s="1"/>
  <c r="AD74"/>
  <c r="U1336"/>
  <c r="AD1666"/>
  <c r="AD1655"/>
  <c r="Y1470"/>
  <c r="AB205"/>
  <c r="AD205" s="1"/>
  <c r="AB155"/>
  <c r="AD155" s="1"/>
  <c r="AD1622"/>
  <c r="AD1648"/>
  <c r="Z1488"/>
  <c r="Z1486" s="1"/>
  <c r="O1492"/>
  <c r="AC816"/>
  <c r="Z17"/>
  <c r="AB611"/>
  <c r="AT1060"/>
  <c r="AA1011"/>
  <c r="AD1742"/>
  <c r="AC1594"/>
  <c r="AC1635"/>
  <c r="BG1060"/>
  <c r="BI1060" s="1"/>
  <c r="AC1015"/>
  <c r="AA816"/>
  <c r="Y1492"/>
  <c r="Z1336"/>
  <c r="AB1336" s="1"/>
  <c r="AD1336" s="1"/>
  <c r="AC1610"/>
  <c r="AC1801" s="1"/>
  <c r="Z1158"/>
  <c r="AB1755"/>
  <c r="AA1493"/>
  <c r="AC1493" s="1"/>
  <c r="AC1492" s="1"/>
  <c r="AB210"/>
  <c r="AD210" s="1"/>
  <c r="AB1470"/>
  <c r="AA1540"/>
  <c r="Y1304"/>
  <c r="AA1304" s="1"/>
  <c r="AC1304" s="1"/>
  <c r="AB90"/>
  <c r="AD90" s="1"/>
  <c r="O737"/>
  <c r="AB1206"/>
  <c r="AD1792"/>
  <c r="AD1733"/>
  <c r="M1470"/>
  <c r="AD1798"/>
  <c r="U1288"/>
  <c r="P1342"/>
  <c r="Y1292"/>
  <c r="AA1292" s="1"/>
  <c r="AC1292" s="1"/>
  <c r="AB198"/>
  <c r="AD198" s="1"/>
  <c r="AD1755"/>
  <c r="Y1290"/>
  <c r="AA1290" s="1"/>
  <c r="AC1290" s="1"/>
  <c r="Y1319"/>
  <c r="AA1319" s="1"/>
  <c r="AC1319" s="1"/>
  <c r="BG1340" s="1"/>
  <c r="BI1339" s="1"/>
  <c r="S1302"/>
  <c r="W1336"/>
  <c r="S1336"/>
  <c r="AD1610"/>
  <c r="AD1594"/>
  <c r="P44"/>
  <c r="AD1635"/>
  <c r="AD1596"/>
  <c r="AD1695"/>
  <c r="U1317"/>
  <c r="AD1689"/>
  <c r="AD1650"/>
  <c r="AD1628"/>
  <c r="Y1321"/>
  <c r="AA1321" s="1"/>
  <c r="AC1321" s="1"/>
  <c r="Q1470"/>
  <c r="O1470"/>
  <c r="AA987"/>
  <c r="AC987"/>
  <c r="AD1671"/>
  <c r="AD1761"/>
  <c r="AD1778" s="1"/>
  <c r="AD1704"/>
  <c r="Y1326"/>
  <c r="AA1326" s="1"/>
  <c r="AC1326" s="1"/>
  <c r="Y1299"/>
  <c r="AA1299" s="1"/>
  <c r="AC1299" s="1"/>
  <c r="AD1158"/>
  <c r="AB1288"/>
  <c r="AD1288" s="1"/>
  <c r="AG1159"/>
  <c r="Q737"/>
  <c r="AB916"/>
  <c r="AC792"/>
  <c r="AB39"/>
  <c r="AD39" s="1"/>
  <c r="AD1794"/>
  <c r="AC1006"/>
  <c r="AA1006"/>
  <c r="AD1740"/>
  <c r="AC1105"/>
  <c r="AC1106" s="1"/>
  <c r="AD1716"/>
  <c r="AD1745"/>
  <c r="Y737"/>
  <c r="N561"/>
  <c r="R44"/>
  <c r="AD609"/>
  <c r="AD610" s="1"/>
  <c r="AB108"/>
  <c r="AD108" s="1"/>
  <c r="AA916"/>
  <c r="AB1317"/>
  <c r="AD1317" s="1"/>
  <c r="AB783"/>
  <c r="AD741"/>
  <c r="AD784" s="1"/>
  <c r="AD785" s="1"/>
  <c r="AB1561"/>
  <c r="AB1571" s="1"/>
  <c r="AD1572" s="1"/>
  <c r="AD1562"/>
  <c r="AD1569" s="1"/>
  <c r="AD1570" s="1"/>
  <c r="AC1459"/>
  <c r="AB737"/>
  <c r="AD737" s="1"/>
  <c r="AD654"/>
  <c r="Y1291"/>
  <c r="AA1291" s="1"/>
  <c r="AC1291" s="1"/>
  <c r="S1288"/>
  <c r="AB960"/>
  <c r="AD961" s="1"/>
  <c r="AD962" s="1"/>
  <c r="AD940"/>
  <c r="AD1492"/>
  <c r="AA1485"/>
  <c r="Y1458"/>
  <c r="S1317"/>
  <c r="AD1235"/>
  <c r="AD1236" s="1"/>
  <c r="Y1289"/>
  <c r="AC784"/>
  <c r="AC785" s="1"/>
  <c r="AB17"/>
  <c r="AD17" s="1"/>
  <c r="AB37"/>
  <c r="AA812"/>
  <c r="AC815"/>
  <c r="AC812" s="1"/>
  <c r="AD817"/>
  <c r="AD816" s="1"/>
  <c r="AB816"/>
  <c r="AC1547"/>
  <c r="AC1569" s="1"/>
  <c r="AC1570" s="1"/>
  <c r="AA1545"/>
  <c r="AA1492"/>
  <c r="Q1336"/>
  <c r="Y1338"/>
  <c r="AA1338" s="1"/>
  <c r="AC1338" s="1"/>
  <c r="AC1336" s="1"/>
  <c r="Y1295"/>
  <c r="AA1295" s="1"/>
  <c r="AC1295" s="1"/>
  <c r="Q1288"/>
  <c r="AE1473"/>
  <c r="AE1469"/>
  <c r="AE1474" s="1"/>
  <c r="M1492"/>
  <c r="AD1664"/>
  <c r="AA1548"/>
  <c r="W1317"/>
  <c r="Y1303"/>
  <c r="AA1303" s="1"/>
  <c r="AC1303" s="1"/>
  <c r="Z940"/>
  <c r="AA1049"/>
  <c r="AC1049" s="1"/>
  <c r="AC1102" s="1"/>
  <c r="AC1103" s="1"/>
  <c r="AB118"/>
  <c r="AD118" s="1"/>
  <c r="M1488"/>
  <c r="AA1488" s="1"/>
  <c r="AC1488" s="1"/>
  <c r="O1488"/>
  <c r="L1490"/>
  <c r="AF1492"/>
  <c r="Q1458"/>
  <c r="O1458"/>
  <c r="AD1352"/>
  <c r="AB1450"/>
  <c r="AB1351"/>
  <c r="Y1306"/>
  <c r="AA1306" s="1"/>
  <c r="AC1306" s="1"/>
  <c r="Q1302"/>
  <c r="AA1029"/>
  <c r="AC1029"/>
  <c r="AA561"/>
  <c r="AC451"/>
  <c r="AC561" s="1"/>
  <c r="AB1492"/>
  <c r="AD1470"/>
  <c r="Y1327"/>
  <c r="AA1327" s="1"/>
  <c r="AC1327" s="1"/>
  <c r="Y1320"/>
  <c r="AA1320" s="1"/>
  <c r="AC1320" s="1"/>
  <c r="Y1318"/>
  <c r="Y1298"/>
  <c r="AA1298" s="1"/>
  <c r="AC1298" s="1"/>
  <c r="AB1049"/>
  <c r="AD1049" s="1"/>
  <c r="AD1102" s="1"/>
  <c r="AD1103" s="1"/>
  <c r="AB451"/>
  <c r="W1288"/>
  <c r="AB792"/>
  <c r="AD792" s="1"/>
  <c r="AB80"/>
  <c r="AD80" s="1"/>
  <c r="AB44"/>
  <c r="AD44" s="1"/>
  <c r="Y1302" l="1"/>
  <c r="AA1302" s="1"/>
  <c r="AC1302" s="1"/>
  <c r="AC1572"/>
  <c r="AB1104"/>
  <c r="AD1105" s="1"/>
  <c r="AD1106" s="1"/>
  <c r="Y1336"/>
  <c r="AA1336" s="1"/>
  <c r="AD1801"/>
  <c r="AB1342"/>
  <c r="AD1340" s="1"/>
  <c r="AD1341" s="1"/>
  <c r="BH1339" s="1"/>
  <c r="AD451"/>
  <c r="AD561" s="1"/>
  <c r="AB561"/>
  <c r="AA1318"/>
  <c r="Y1317"/>
  <c r="AD37"/>
  <c r="AB34"/>
  <c r="AD34" s="1"/>
  <c r="Y1288"/>
  <c r="AA1289"/>
  <c r="AC1485"/>
  <c r="AC1470" s="1"/>
  <c r="AA1470"/>
  <c r="AC961"/>
  <c r="AC1318" l="1"/>
  <c r="AC1317" s="1"/>
  <c r="AA1317"/>
  <c r="AC962"/>
  <c r="AC983"/>
  <c r="AC984" s="1"/>
  <c r="AC1289"/>
  <c r="AC1288" s="1"/>
  <c r="AA1288"/>
  <c r="AC1340" l="1"/>
  <c r="AC1341" s="1"/>
  <c r="Y15" i="4" l="1"/>
  <c r="AA15" s="1"/>
  <c r="AC15" s="1"/>
  <c r="AC18" s="1"/>
  <c r="P15"/>
  <c r="AA14"/>
  <c r="AC14" s="1"/>
  <c r="Z14"/>
  <c r="AA13"/>
  <c r="AC13" s="1"/>
  <c r="Z13"/>
  <c r="Z12" l="1"/>
  <c r="L15"/>
  <c r="R15"/>
  <c r="AB14"/>
  <c r="AD14" s="1"/>
  <c r="N15"/>
  <c r="AB13"/>
  <c r="AB12" l="1"/>
  <c r="AD12" s="1"/>
  <c r="AB15"/>
  <c r="AD15" s="1"/>
  <c r="Z15"/>
  <c r="AD13"/>
  <c r="AD18" l="1"/>
  <c r="AD19" s="1"/>
  <c r="AC19"/>
  <c r="Y37" i="1" l="1"/>
  <c r="AA37" s="1"/>
  <c r="AC37" s="1"/>
  <c r="N37"/>
  <c r="L37"/>
  <c r="Z38"/>
  <c r="Z37" s="1"/>
  <c r="Y38"/>
  <c r="AA38" s="1"/>
  <c r="AC38" s="1"/>
  <c r="AC39" s="1"/>
  <c r="AC40" s="1"/>
  <c r="L38"/>
  <c r="P38" s="1"/>
  <c r="R29"/>
  <c r="Z33"/>
  <c r="Y33"/>
  <c r="AA33" s="1"/>
  <c r="AC33" s="1"/>
  <c r="N33"/>
  <c r="L33"/>
  <c r="Z32"/>
  <c r="Y32"/>
  <c r="AA32" s="1"/>
  <c r="AC32" s="1"/>
  <c r="L32"/>
  <c r="N32"/>
  <c r="Z31"/>
  <c r="Y31"/>
  <c r="AA31" s="1"/>
  <c r="AC31" s="1"/>
  <c r="N31"/>
  <c r="L30"/>
  <c r="L31"/>
  <c r="Y29"/>
  <c r="AA29" s="1"/>
  <c r="AC29" s="1"/>
  <c r="N1460" i="5" l="1"/>
  <c r="AB32" i="1"/>
  <c r="AD32" s="1"/>
  <c r="AB31"/>
  <c r="AD31" s="1"/>
  <c r="L29"/>
  <c r="AB38"/>
  <c r="AB37" s="1"/>
  <c r="N29"/>
  <c r="AB33"/>
  <c r="AD33" s="1"/>
  <c r="AB1460" i="5" l="1"/>
  <c r="M1460"/>
  <c r="AA1460" s="1"/>
  <c r="N1458"/>
  <c r="M1458" s="1"/>
  <c r="AD38" i="1"/>
  <c r="AD1460" i="5" l="1"/>
  <c r="AD1458" s="1"/>
  <c r="AC1518" s="1"/>
  <c r="AC1519" s="1"/>
  <c r="AB1458"/>
  <c r="AB1517" s="1"/>
  <c r="AD1518" s="1"/>
  <c r="AD1519" s="1"/>
  <c r="AC1460"/>
  <c r="AC1458" s="1"/>
  <c r="AA1458"/>
  <c r="Z30" i="1"/>
  <c r="Y30"/>
  <c r="AA30" s="1"/>
  <c r="AC30" s="1"/>
  <c r="AC34" s="1"/>
  <c r="AC35" s="1"/>
  <c r="P30"/>
  <c r="P29" s="1"/>
  <c r="P41" s="1"/>
  <c r="Z29" l="1"/>
  <c r="AB30"/>
  <c r="AB29" l="1"/>
  <c r="AD30"/>
  <c r="AC42" s="1"/>
  <c r="AC43" s="1"/>
  <c r="AD37"/>
  <c r="AD39" s="1"/>
  <c r="AD40" s="1"/>
  <c r="AD29" l="1"/>
  <c r="AD34" s="1"/>
  <c r="AD35" s="1"/>
  <c r="AB41"/>
  <c r="AD42" s="1"/>
  <c r="AD43" s="1"/>
</calcChain>
</file>

<file path=xl/sharedStrings.xml><?xml version="1.0" encoding="utf-8"?>
<sst xmlns="http://schemas.openxmlformats.org/spreadsheetml/2006/main" count="8939" uniqueCount="2991">
  <si>
    <t>Evaluasi Terhadapa Hasil Renja Perangkat Daerah Lingkup Kabupaten/Kota</t>
  </si>
  <si>
    <t>No</t>
  </si>
  <si>
    <t>Sasaran</t>
  </si>
  <si>
    <t>Program</t>
  </si>
  <si>
    <t>(Outcome)/</t>
  </si>
  <si>
    <t>Kegiatan</t>
  </si>
  <si>
    <t>(Output)</t>
  </si>
  <si>
    <t>Target Rensta</t>
  </si>
  <si>
    <t>Perangkat</t>
  </si>
  <si>
    <t>Daerah Pada</t>
  </si>
  <si>
    <t>(Akhir</t>
  </si>
  <si>
    <t>Priode</t>
  </si>
  <si>
    <t>Renstra</t>
  </si>
  <si>
    <t>Daerah )</t>
  </si>
  <si>
    <t>Realisasi</t>
  </si>
  <si>
    <t>Capaian</t>
  </si>
  <si>
    <t>Konerja</t>
  </si>
  <si>
    <t>Daerah</t>
  </si>
  <si>
    <t>Sampai</t>
  </si>
  <si>
    <t>Dengan Renja</t>
  </si>
  <si>
    <t>Tahun Lalu</t>
  </si>
  <si>
    <t>Target Kinerja</t>
  </si>
  <si>
    <t>dan Anggaran</t>
  </si>
  <si>
    <t>Renja</t>
  </si>
  <si>
    <t>Daerah Tahun</t>
  </si>
  <si>
    <t>Berjalan</t>
  </si>
  <si>
    <t>yang</t>
  </si>
  <si>
    <t>dievaluasi</t>
  </si>
  <si>
    <t>Realisasi Kinerja Pada</t>
  </si>
  <si>
    <t>Triwulan</t>
  </si>
  <si>
    <t>I</t>
  </si>
  <si>
    <t>II</t>
  </si>
  <si>
    <t>1V</t>
  </si>
  <si>
    <t xml:space="preserve">Realisai </t>
  </si>
  <si>
    <t>Capaian Kinerja</t>
  </si>
  <si>
    <t xml:space="preserve">dan Anggaran </t>
  </si>
  <si>
    <t>Renja Perangkat</t>
  </si>
  <si>
    <t>Daerah yang</t>
  </si>
  <si>
    <t>Dievaluasi</t>
  </si>
  <si>
    <t>Realisasi  Kinerja</t>
  </si>
  <si>
    <t>Renstra Perangkat</t>
  </si>
  <si>
    <t>Daerah  s/d  Tahun</t>
  </si>
  <si>
    <t>(Akhir Tahun</t>
  </si>
  <si>
    <t>Pelaksanaan  Renja</t>
  </si>
  <si>
    <t>Perangkat Daerah</t>
  </si>
  <si>
    <t>Tingkat Capaian</t>
  </si>
  <si>
    <t>Kinerja Dan Realisasi</t>
  </si>
  <si>
    <t>(%)</t>
  </si>
  <si>
    <t>Unit Perangkat</t>
  </si>
  <si>
    <t>Penanggung</t>
  </si>
  <si>
    <t>Jawab</t>
  </si>
  <si>
    <t>K</t>
  </si>
  <si>
    <t>Faktor Penghambat Pencapaian Kinerja :</t>
  </si>
  <si>
    <t>Faktor Pendorong Keberasilan Kinerja :</t>
  </si>
  <si>
    <t>Tindak Lanjut yang diperlukan dalam triwulan berikutnya *):</t>
  </si>
  <si>
    <t>TindakLanjut yang diperlukan dalam Renja Perangkat Daerah Kabupaten/Kota berikut*) :</t>
  </si>
  <si>
    <t>Disusun</t>
  </si>
  <si>
    <t>....................., tanggal .......................</t>
  </si>
  <si>
    <t>Indikator dan Target Kineja Perangkat Daerah Kabupaten/Kota Yang Mengacu Pada Sasaran RKPD:</t>
  </si>
  <si>
    <t>Program / Kegiatan</t>
  </si>
  <si>
    <t>Kode Rekening</t>
  </si>
  <si>
    <t>14 = 7 +13</t>
  </si>
  <si>
    <t>15 = 14/6 X 100 %</t>
  </si>
  <si>
    <t>Indikator</t>
  </si>
  <si>
    <t>Kinerja</t>
  </si>
  <si>
    <t>02</t>
  </si>
  <si>
    <t>01</t>
  </si>
  <si>
    <t>21</t>
  </si>
  <si>
    <t>51</t>
  </si>
  <si>
    <t>Pengesahan Perubahan Perda RPJMD Kab.Pesisir Selatan</t>
  </si>
  <si>
    <t>Jumlah Dokumen Perencanaan yang disusun dan evaluasi (Dokumen)</t>
  </si>
  <si>
    <t>s/d di Tahun 2018</t>
  </si>
  <si>
    <t>Rp. (000)</t>
  </si>
  <si>
    <t>Program Perencanaan Pembangunan Daerah</t>
  </si>
  <si>
    <t>Tahun 2018</t>
  </si>
  <si>
    <t>Tahun 2021</t>
  </si>
  <si>
    <t>(Tahun 2018)</t>
  </si>
  <si>
    <t>Mewujudkan peencanaan pembangunan berbasis peta berstandar</t>
  </si>
  <si>
    <t>Meningkatkan  keselarasan dokumen perencanaan pembangunan</t>
  </si>
  <si>
    <t>Meningkatkan efektifitas pelaksanaan program/kegiatan pembangunan</t>
  </si>
  <si>
    <t>Terwujudnya akurasi keputusan pembangunan</t>
  </si>
  <si>
    <t xml:space="preserve">Rp. </t>
  </si>
  <si>
    <t>Bapedalitbang</t>
  </si>
  <si>
    <t>Evaluasi RKPD</t>
  </si>
  <si>
    <t>Perda Revisi RPJMD Kab.Pesisir Selatan (Buku)</t>
  </si>
  <si>
    <t>Monitoring, evaluasi, pengendalian dan pelaporan pelaksanaan rencana pemabngunan daerah</t>
  </si>
  <si>
    <t>Laporan evaluasi RKPD tahun berjalan (dokumen)</t>
  </si>
  <si>
    <t>Laporan Monev pelaksanaan Dak dan TP (dokumen)</t>
  </si>
  <si>
    <t>Penyusunan Rancangan RKPD</t>
  </si>
  <si>
    <t>Rata-Rata Capaian Kinerja</t>
  </si>
  <si>
    <t>Peringkat  Kinerja</t>
  </si>
  <si>
    <t>Renja Badan Perencanaan Daerah, Penelitian dan Pengembangan Kabupaten Pesisir Selatan</t>
  </si>
  <si>
    <t>Periode Pelaksanaan:  Triwulan I Tahun 2018</t>
  </si>
  <si>
    <t>08</t>
  </si>
  <si>
    <t>Program Perencanaan Tata Ruang</t>
  </si>
  <si>
    <t>04</t>
  </si>
  <si>
    <t>Pengesahan Perubahan Rencana Tata Ruang Wilayah Kab. Pessel</t>
  </si>
  <si>
    <t>Perbup RKPD (dokumen)</t>
  </si>
  <si>
    <t>Persentase dokumen tata ruang yang ditindak lanjuti (%)</t>
  </si>
  <si>
    <t>Perda Revisi RPJMD Kab.Pesisir Selatan (dokumen)</t>
  </si>
  <si>
    <t>Realisasi Anggaran Seluruh Program</t>
  </si>
  <si>
    <t xml:space="preserve">TOTAL RATA-RATA CAPAIAN KINERJA DAN ANGGARAN DARI SELURUH PROGRAM </t>
  </si>
  <si>
    <t>PERINGKAT KINERJA DARI SELURUH PROGRAM</t>
  </si>
  <si>
    <t>KEPALA BAPEDALITBANG</t>
  </si>
  <si>
    <t>KABUPATEN PESISIR SELATAN</t>
  </si>
  <si>
    <t>........................................</t>
  </si>
  <si>
    <t>KEPALA .. ......</t>
  </si>
  <si>
    <t>00</t>
  </si>
  <si>
    <t>Tersedianya dokumen perencanaan pembangunan jangka menengah yang ditetapkan dengan Perda (1 dokumen)</t>
  </si>
  <si>
    <t>Tersedianya dokumen perencanaan pembangunan tahunan yang ditetapkan dengan Perkada (1 dokumen)</t>
  </si>
  <si>
    <t>Tersedianya dokumen perencanaan tata ruang yang ditetapkan dengan Perda (1 dokumen)</t>
  </si>
  <si>
    <t>EVALUASI TERHADAP HASIL RENCANA KERJA PEMERINTAH DAERAH</t>
  </si>
  <si>
    <t>TRIWULAN I TAHUN 2018</t>
  </si>
  <si>
    <t>URUSAN PEMERINTAHAN WAJIB</t>
  </si>
  <si>
    <t>URUSAN PEMERINTAHAN WAJIB PELAYANAN DASAR</t>
  </si>
  <si>
    <t>URUSAN PENDIDIKAN</t>
  </si>
  <si>
    <t>URUSAN KESEHATAN</t>
  </si>
  <si>
    <t>URUSAN PEKERJAAN UMUM DAN PENATAAN RUANG</t>
  </si>
  <si>
    <t>Indikator Kinerja Program (Outcome)/(Output)</t>
  </si>
  <si>
    <t>Target Kinerja dan Anggaran RKPD Kabupaten Pesisir Selatan Tahun Berjalan (2018) yang Dievaluasi</t>
  </si>
  <si>
    <t>Realisasi Kinerja Pada Triwulan</t>
  </si>
  <si>
    <t>Target RPJMD Kabupaten Pesisir Selatan pada Tahun 2021</t>
  </si>
  <si>
    <t>III</t>
  </si>
  <si>
    <t>IV</t>
  </si>
  <si>
    <t>rusan/Bidang Urusan Pemerintahan Daerah Dan Program/Kegiatan</t>
  </si>
  <si>
    <t>Tingkat Capaian Kinerja dan Realisasi Anggaran RPJMD Kabupaten/kota s/d Tahun 2018 
(%)</t>
  </si>
  <si>
    <t>SKPD Penanggung Jawab</t>
  </si>
  <si>
    <t>Capaian Kinerja RPJMD Kabupaten Pesisir Selatan sampai dengan RKPD  Tahun Lalu (2017)</t>
  </si>
  <si>
    <t>Realisasi Kinerja dan Anggaran RPJMD s/d Tahun 2018 (Akhir Tahun Pelaksanaan RKPD tahun 2018)</t>
  </si>
  <si>
    <t>Realisasi Capaian 
Kinerja dan Anggaran RKPD  yang 
Dievaluasi</t>
  </si>
  <si>
    <t>URUSAN PERUMAHAN RAKYAT DAN KAWASAN PEMUKIMAN</t>
  </si>
  <si>
    <t>URUSAN SOSIAL</t>
  </si>
  <si>
    <t>URUSAN KETENTRAMAN, KETERTIBAN UMUM, DAN PERLINDUNGAN MASYARAKAT</t>
  </si>
  <si>
    <t>URUSAN TENAGA KERJA</t>
  </si>
  <si>
    <t>URUSAN PEMERINTAHAN WAJIB NON PELAYANAN DASAR</t>
  </si>
  <si>
    <t>URUSAN PEMBERDAYAAN PEREMPUAN DAN PERLINDUNGAN ANAK</t>
  </si>
  <si>
    <t>URUSAN PANGAN</t>
  </si>
  <si>
    <t>URUSAN PERTANAHAN</t>
  </si>
  <si>
    <t>URUSAN LINGKUNGAN HIDUP</t>
  </si>
  <si>
    <t>URUSAN ADMINISTRASI KEPENDUDUKAN DAN PENCATATAN SIPIL</t>
  </si>
  <si>
    <t>URUSAN PEMBERDAYAAN MASYARAKAT DAN DESA</t>
  </si>
  <si>
    <t>URUSAN PENGENDALIAN PENDUDUK DAN KELUARGA BERENCANA</t>
  </si>
  <si>
    <t>URUSAN PERHUBUNGAN</t>
  </si>
  <si>
    <t>URUSAN KOMUNIKASI DAN INFORMATIKA</t>
  </si>
  <si>
    <t>URUSAN KOPERASI, USAHA KECIL DAN MENENGAH</t>
  </si>
  <si>
    <t>URUSAN PENANAMAN MODAL DAN PELAYANAN PERIZINAN</t>
  </si>
  <si>
    <t>1</t>
  </si>
  <si>
    <t>Penyediaan Jasa Komunikasi, Sumber Daya Air dan Listrik</t>
  </si>
  <si>
    <t>Penyediaan jasa administrasi keuangan</t>
  </si>
  <si>
    <t>Penyediaan Jasa Kebersihan Kantor</t>
  </si>
  <si>
    <t>Penyediaan Alat Tulis Kantor</t>
  </si>
  <si>
    <t>Penyediaan Barang Cetakan dan Penggandaan</t>
  </si>
  <si>
    <t>Penyediaan Komponen Instalasi Listrik/Penerangan Bangunan Kantor</t>
  </si>
  <si>
    <t>Penyedian peralatan dan perlengkapan kantor</t>
  </si>
  <si>
    <t>-</t>
  </si>
  <si>
    <t>15</t>
  </si>
  <si>
    <t>Penyediaan Bahan Bacaan dan Peraturan Perundang-undangan</t>
  </si>
  <si>
    <t>Penyediaan Makanan dan Minuman</t>
  </si>
  <si>
    <t>Rapat-rapat Koordinasi dan Konsultasi ke Luar Daerah</t>
  </si>
  <si>
    <t>Rapat-rapat Koordinasi dan Konsultasi Dalam Daerah</t>
  </si>
  <si>
    <t>12</t>
  </si>
  <si>
    <t>05</t>
  </si>
  <si>
    <t>Program Peningkatan Sarana dan Prasarana Aparatur</t>
  </si>
  <si>
    <t>22</t>
  </si>
  <si>
    <t>42</t>
  </si>
  <si>
    <t>24</t>
  </si>
  <si>
    <t>16</t>
  </si>
  <si>
    <t>18</t>
  </si>
  <si>
    <t>Penunjang Operasional Perencanaan dan Pelaporan</t>
  </si>
  <si>
    <t>URUSAN KEPEMUDAAN DAN OLAHRAGA</t>
  </si>
  <si>
    <t>URUSAN STATISTIK</t>
  </si>
  <si>
    <t>URUSAN PERSANDIAN</t>
  </si>
  <si>
    <t>URUSAN KEBUDAYAAN</t>
  </si>
  <si>
    <t>Program Pengembangan Nilai Budaya</t>
  </si>
  <si>
    <t>Persentase seni budaya yang dilestarikan</t>
  </si>
  <si>
    <t>Dinas Pendiidkan dan Kebudayaan</t>
  </si>
  <si>
    <t>Pagelaran Seni dan Budaya</t>
  </si>
  <si>
    <t>Terlaksananya pagelaran seni dan budaya tingkat Kabupaten dan Provinsi</t>
  </si>
  <si>
    <t>28</t>
  </si>
  <si>
    <t>Fasilitasi dan Kegiatan Pendamping Festival Seni dan Budaya</t>
  </si>
  <si>
    <t>Terlaksananya fasilitasi dan kegiatan pendamping festival budaya maritim 2018</t>
  </si>
  <si>
    <t>34</t>
  </si>
  <si>
    <t>Pengiriman Tim Kesenian</t>
  </si>
  <si>
    <t>46</t>
  </si>
  <si>
    <t>Sumarak Pesisir Selatan</t>
  </si>
  <si>
    <t>Perawatan Cakar Budaya. Museum dan Peninggalan bawah air</t>
  </si>
  <si>
    <t>Program Pengelolaan Kekayaan Budaya</t>
  </si>
  <si>
    <t>Persentase cagar budaya yang dilestarikan</t>
  </si>
  <si>
    <t>Penyusunan Perda tentang Kurikulum Muatan Lokal BAMK Berbasis ABS-SBK</t>
  </si>
  <si>
    <t>Ranperda tentang kurikulum muatan lokal BAMK berbasis ABS-SBK</t>
  </si>
  <si>
    <t>Paket Seni Tradisional dan Moderen</t>
  </si>
  <si>
    <t xml:space="preserve">Terlaksananya 6 (enam) paket seni </t>
  </si>
  <si>
    <t>Pendokumentasian Simbol-simbol Adat Pada Setiap Nagari Yang Ada di Kabupaten Pesisir Selatan</t>
  </si>
  <si>
    <t>60 simbol adat atau karya adat di 15 kecamatan</t>
  </si>
  <si>
    <t>URUSAN PERPUSTAKAAN</t>
  </si>
  <si>
    <t>Penyediaan jasa komunikasi, sumber daya air dan listrik</t>
  </si>
  <si>
    <t>03</t>
  </si>
  <si>
    <t>06</t>
  </si>
  <si>
    <t>07</t>
  </si>
  <si>
    <t>Penyediaan jasa administrasi keuangan</t>
  </si>
  <si>
    <t>Penyediaan jasa kebersihan kantor</t>
  </si>
  <si>
    <t>09</t>
  </si>
  <si>
    <t>10</t>
  </si>
  <si>
    <t>Penyediaan Alat Tulis Kantor</t>
  </si>
  <si>
    <t>Penyediaan barang cetakan dan penggandaan</t>
  </si>
  <si>
    <t>Penyediaan komponen instalasi listrik/penerangan bangunan kantor</t>
  </si>
  <si>
    <t>Penyediaan makanan dan minuman</t>
  </si>
  <si>
    <t>Rapat-rapat kordinasi dan konsultasi ke luar daerah</t>
  </si>
  <si>
    <t>Rapat-rapat Koordinasi dan Konsultasi Dalam Daerah</t>
  </si>
  <si>
    <t>Pendidikan dan Pelatihan Formal</t>
  </si>
  <si>
    <t>URUSAN KEARSIPAN</t>
  </si>
  <si>
    <t>URUSAN PEMERINTAHAN PILIHAN</t>
  </si>
  <si>
    <t>URUSAN PERIKANAN</t>
  </si>
  <si>
    <t>URUSAN PARIWISATA</t>
  </si>
  <si>
    <t>URUSAN PERTANIAN</t>
  </si>
  <si>
    <t>URUSAN PERDAGANGAN</t>
  </si>
  <si>
    <t>URUSAN PERINDUSTRIAN</t>
  </si>
  <si>
    <t>URUSAN TRANSMIGRASI</t>
  </si>
  <si>
    <t>PENUNJANG URUSAN</t>
  </si>
  <si>
    <t>PERENCANAAN</t>
  </si>
  <si>
    <t>KEUANGAN</t>
  </si>
  <si>
    <t>Program Pelayanan Administrasi Perkantoran</t>
  </si>
  <si>
    <t>BADAN PENGELOLA KEUANGAN DAERAH</t>
  </si>
  <si>
    <t>Penyediaan makanan dan minuman</t>
  </si>
  <si>
    <t>Pemeliharaan Rutin/Berkala Kendaraan Dinas/Operasional</t>
  </si>
  <si>
    <t>Pemeliharaan Rutin/Berkala Perlengkapan Gedung Kantor</t>
  </si>
  <si>
    <t>Program Peningkatan Kapasitas Sumber Daya Aparatur</t>
  </si>
  <si>
    <t>Program Peningkatan Pengembangan Sistem Pelaporan Capaian Kinerja dan Keuangan</t>
  </si>
  <si>
    <t xml:space="preserve"> </t>
  </si>
  <si>
    <t>Adanya/Tersedianya Komunikasi, Sumber Daya Air dan Listrik  pada kantor</t>
  </si>
  <si>
    <t>Penyedia Jasa Administrasi Keuangan</t>
  </si>
  <si>
    <t>Tersedianya Jasa Administras Keuangan</t>
  </si>
  <si>
    <t>Penyedia Jasa Kebersihan Kantor</t>
  </si>
  <si>
    <t>Tersedianya Jasa kebersihan kantor</t>
  </si>
  <si>
    <t>Tersediannya Alat tulis Kantor Dinas Pendidikan dan Kebudayaan</t>
  </si>
  <si>
    <t>Penyediaan Barang Cetak dan Pengadaan</t>
  </si>
  <si>
    <t>Tesedianya Barang cetakan dan Pengadaan di Dinas Pendidikan dan Kebudayaan</t>
  </si>
  <si>
    <t>Tersedianya komponen instalasi listrik Dinas Pendidikan dan Kebudayaan</t>
  </si>
  <si>
    <t>Penyediaan Peralatan dan Perlengkapan Kantor</t>
  </si>
  <si>
    <t>Tersedianya fasilitas/peralatan pendukung/penunjang  untuk Kelancaran pelaksanaan pekerjaan aparatur dalam rangka pelayanan administrasi perkantoran</t>
  </si>
  <si>
    <t>Penyediaan Bahan Bacaan dan peraturan Perundang-undagan</t>
  </si>
  <si>
    <t>Tersedianya Bahan Bacaan dan Peratruan Perundang-undangan</t>
  </si>
  <si>
    <t xml:space="preserve">Penyediaan Mankanan dan Minuman </t>
  </si>
  <si>
    <t>Tersedianya Makan Minum Pegawai</t>
  </si>
  <si>
    <t>Rapat-Rapat Koordinasi dan Konsultasi Keluar Daerah</t>
  </si>
  <si>
    <t>Terlaksananya rapat koordinas keluar daerah</t>
  </si>
  <si>
    <t>Rapat-Rapat Koordinasi dan Konsultasi Dalam Daerah</t>
  </si>
  <si>
    <t>Terlaksananya rapat koordinasi dalam daerah</t>
  </si>
  <si>
    <t>Jumlah dokumen perencanaan dan pelaporan</t>
  </si>
  <si>
    <t>Penyediaan Biaya Operasional Unit kerja Bawahan</t>
  </si>
  <si>
    <t>Tercapainya kegiatan Penyediaan Biaya Operasiaonal Unit Kerja Bawahan</t>
  </si>
  <si>
    <t>Penyediaan Jasa Tenaga Kerja Non PNS</t>
  </si>
  <si>
    <t>Tersedianya tenaga guru di lingkungan sekolah tingkat  SD dan SMP dalam rangka peningkatan mutu pendidikan di tingkat dasar dan tenaga pegawai 
pada Kantor Dinas Pendidikan dan Kebudayaan dalam rangka pelayanan adminstasi perkantoran</t>
  </si>
  <si>
    <t>Peringatan Hari-Hari Besar Nasional</t>
  </si>
  <si>
    <t xml:space="preserve">Sebagai perwujudan nyata keikutsertaan Dinas Pendidikan dan Kebudayaan  dalam memperingati  Hari-Hari Besar Nasional </t>
  </si>
  <si>
    <t>Operasional UPTD Pendidikan dan Kebuayaan</t>
  </si>
  <si>
    <t>Tersedianya Operasiaonal UPTD Pendidikan dan Kebudayaan</t>
  </si>
  <si>
    <t>Program Peningkatan Sarana dan Prasarana Aparatur</t>
  </si>
  <si>
    <t>Pemeliharaan Rutin/Berkala Gedung Kantor</t>
  </si>
  <si>
    <t>Tersedianya bangunan yang aman dan nyaman untuk suasana kerja</t>
  </si>
  <si>
    <t>Pemeliharaan Rutin / Berkala Kendaraan Dinas/Operasiaonal</t>
  </si>
  <si>
    <t>Terpeliharanya secara berkala kendaraan dinas untuk operasional</t>
  </si>
  <si>
    <t>Pemeliharan Rutin / berkala Alat - Alat Kantor</t>
  </si>
  <si>
    <t>Terpeliharanya Alat-alat Kantor</t>
  </si>
  <si>
    <t>Program Peningkatan Kapasitas  Sumber Daya Aparatur</t>
  </si>
  <si>
    <t>Menghasilan tenaga ASN yang berkualitas</t>
  </si>
  <si>
    <t>Bimbingan Teknis Implementasi Peraturan Perundang-undangan</t>
  </si>
  <si>
    <t>Tterlaksananya Bintek Kepegawaian</t>
  </si>
  <si>
    <t>Pelatihan Penatausahaan Keuangan</t>
  </si>
  <si>
    <t>Menghasilan tenaga keuangan yang berkualitas</t>
  </si>
  <si>
    <t>Program Wajib Belajar Pendidikan Dasar Sembilan Tahun</t>
  </si>
  <si>
    <t>Persentase Kenaikan APK SD</t>
  </si>
  <si>
    <t>Persentase Kenaikan APM SD</t>
  </si>
  <si>
    <t>Persentase Kenaikan APK SMP</t>
  </si>
  <si>
    <t>Persentase Kenaikan APM SMP</t>
  </si>
  <si>
    <t>Pembangunan Taman, Lapangan Upacara dan Fasilitas Parkir</t>
  </si>
  <si>
    <t>Terpenuhinya kebutuhan prasarana parkir di sekolah</t>
  </si>
  <si>
    <t>100</t>
  </si>
  <si>
    <t>Pembangunan / Rehabilitasi Gedung dan Pengadaan Sarana dan Prasarana Sekolah Dasar (DAK Reguler 2018)</t>
  </si>
  <si>
    <t>Rehabilitasi Ruang Kelas, Pembangunan RKB, Jamban, Koleksi Perpustakaan</t>
  </si>
  <si>
    <t>Lomba Peningkatan Pendidikan Sekolah Menengah Pertama</t>
  </si>
  <si>
    <t>Lomba-lomba bagi siswa SMP yang menghasilkan utusan ke tingkat Propinsi dan Nasional</t>
  </si>
  <si>
    <t>104</t>
  </si>
  <si>
    <t>Operasional Sarana Mobilitas Daerah Terpencil</t>
  </si>
  <si>
    <t>Operasional Kapal dan Pemeliharaan Kapal SMPN 6 Koto XI Tarusan</t>
  </si>
  <si>
    <t>106</t>
  </si>
  <si>
    <t>Monitoring, Evaluasi Penggunaan  Dana BOS SMP</t>
  </si>
  <si>
    <t>Tercapainya Monitoring Evaluasi Penggunaan Dana BOS SMP</t>
  </si>
  <si>
    <t>117</t>
  </si>
  <si>
    <t>Pengadaan Mobiler Sekolah SMP</t>
  </si>
  <si>
    <t>125</t>
  </si>
  <si>
    <t>Penyelenggaraan Gebyar Pendidikan Tingkat Provinsi dan Pusat</t>
  </si>
  <si>
    <t>Perlombaan diBidang Seni</t>
  </si>
  <si>
    <t>59</t>
  </si>
  <si>
    <t>Penyelenggraan Tingkat Satuan Pendidikan Sekolah Menengah Pertama</t>
  </si>
  <si>
    <t>Tersusun naskah soal Penilaian Tengah Semester, Penilaian Akhir Semester, Pra Un dan Soal USBN tingkat SMP</t>
  </si>
  <si>
    <t>129</t>
  </si>
  <si>
    <t>Pengadaan Komputer Ujian Nasional Berbasis Komputer (UNBK) dan Ujian Kompetensi Guru (UKG)</t>
  </si>
  <si>
    <t>Terpenuhinya prasarana komputer untuk ujian nasional berbasis komputer (UNBK)</t>
  </si>
  <si>
    <t>131</t>
  </si>
  <si>
    <t>Pembangunan / Rehabilitasi Gedung dan Pengadaan Sarana dan Prasarana Sekolah Dasar  (DAK Afirmasi 2018)</t>
  </si>
  <si>
    <t>Pembangunan Rumah Dinas Guru</t>
  </si>
  <si>
    <t>132</t>
  </si>
  <si>
    <t>Pemb./Rehabilitasi Gedung dan Pengadaan Sarpras SMP (DAK Reguler 2018)</t>
  </si>
  <si>
    <t>Terpenuhinya kebutuhan sarpras dan tersedianya bangunan yang representatif di sekolah</t>
  </si>
  <si>
    <t>133</t>
  </si>
  <si>
    <t>Pemb./Rehabilitasi Gedung dan Pengadaan Sarpras SMP (DAK Afirmasi 2018)</t>
  </si>
  <si>
    <t>Tersedianya rumah dinas guru di sekolah</t>
  </si>
  <si>
    <t xml:space="preserve">Pengadaan Alat Praktik dan Peraga Siswa </t>
  </si>
  <si>
    <t>Pengadaan Alat Drum Band</t>
  </si>
  <si>
    <t>di rka 75 juta</t>
  </si>
  <si>
    <t>Rehabilitasi Sedang/Berat Taman, Lapangan Upacara dan Fasilitas Parkir</t>
  </si>
  <si>
    <t>Pembangunan Lapangan Upacara dan Pagar SD 38 Api-api</t>
  </si>
  <si>
    <t>127</t>
  </si>
  <si>
    <t>Pelatihan Penyusunan Kurikulum</t>
  </si>
  <si>
    <t>terlaksana pelatihan bagi Tim Pengembang Kurikulum Kabupaten dan dokumen kurikulum SD dan SMP telah diverifikasi dan divalidasi</t>
  </si>
  <si>
    <t>70</t>
  </si>
  <si>
    <t>Pembinaan Minat, Bakat dan Kreativitas Siswa</t>
  </si>
  <si>
    <t>Lomba O2SN dan FLS2N</t>
  </si>
  <si>
    <t>Penyelenggaraan Akreditasi Sekolah Dasar</t>
  </si>
  <si>
    <t>Penilaian Akreditasi SD dan SMP dengan Nilai B</t>
  </si>
  <si>
    <t>80</t>
  </si>
  <si>
    <t>Penyelenggara Pendidikan Sekolah Dasar</t>
  </si>
  <si>
    <t>Persiapan Ujian di Sekolah Dasar (naskah soal)</t>
  </si>
  <si>
    <t>81</t>
  </si>
  <si>
    <t>Lomba Tingkat Pendidikan Sekolah Dasar</t>
  </si>
  <si>
    <t>Lomba Matematika dan Sains tingkat SD</t>
  </si>
  <si>
    <t>83</t>
  </si>
  <si>
    <t>Monitoring, Evaluasi Penggunaan  Dana BOS SD</t>
  </si>
  <si>
    <t>Tercapainya Monitoring Evaluasi Penggunaan Dana BOS SD</t>
  </si>
  <si>
    <t>Sosialisasi dan Informasi Pendidikan Dasar</t>
  </si>
  <si>
    <t>Terlaksananya Sosialisasi dan Informasi Pendidikan Dasar</t>
  </si>
  <si>
    <t>944 (thn 2017) = kolom 7</t>
  </si>
  <si>
    <t>87</t>
  </si>
  <si>
    <t>Penyelenggaraan Pendidikan Karakter di Pendidikan Dasar</t>
  </si>
  <si>
    <t>Memberikan Pelatihan kepada guru-guru SD</t>
  </si>
  <si>
    <t>88</t>
  </si>
  <si>
    <t>Pembangunan Ruang Kelas Baru SD</t>
  </si>
  <si>
    <t>93</t>
  </si>
  <si>
    <t>Pengadaan Mobiler Sekolah SD</t>
  </si>
  <si>
    <t>'94</t>
  </si>
  <si>
    <t>Pembangunan Pagar SD</t>
  </si>
  <si>
    <t xml:space="preserve">Pembangunan Pagar Sekolah </t>
  </si>
  <si>
    <t>Program pendidikan anak usia dini</t>
  </si>
  <si>
    <t xml:space="preserve">Persentase Kenaikan APK PAUD </t>
  </si>
  <si>
    <t>45</t>
  </si>
  <si>
    <t>Lomba Tingkat Pendidikan Anak Usia Dini/Taman Kanak-kanak</t>
  </si>
  <si>
    <t>47</t>
  </si>
  <si>
    <t>Pelatihan Verifikasi Bantuan Program PTK PAUD</t>
  </si>
  <si>
    <t>48</t>
  </si>
  <si>
    <t>Pembinaan pada Lembaga PAUD Percontohan</t>
  </si>
  <si>
    <t>58</t>
  </si>
  <si>
    <t>Penyelenggaraan Koordinasi dan Kerjasama PAUD</t>
  </si>
  <si>
    <t>Program Pendidikan Non Formal</t>
  </si>
  <si>
    <t>Persentase kenaikan angka melek aksara penduduk dewasa usia di atas 15 tahun</t>
  </si>
  <si>
    <t>Pemberdayaan Tenaga Pendidik Non Formal</t>
  </si>
  <si>
    <t>Kelancaran pelaksanaan pelatihan tutor fungsional</t>
  </si>
  <si>
    <t>19</t>
  </si>
  <si>
    <t>Pelatihan LKP dan PKBM</t>
  </si>
  <si>
    <t>Meningkatnya mutu SDM Pengelola LKP dan PKBM</t>
  </si>
  <si>
    <t>23</t>
  </si>
  <si>
    <t>Penyelengaraan Paket C Setara SMA</t>
  </si>
  <si>
    <t>Terlaksananya Pendidikan Non Formal</t>
  </si>
  <si>
    <t>27</t>
  </si>
  <si>
    <t>Penyelenggaraan Pendidikan keluarga</t>
  </si>
  <si>
    <t>Terlaksananya sosialisasi pada guru PAUD tentang Pendidikan Keluarga</t>
  </si>
  <si>
    <t>Pelaksanaan UNPK B</t>
  </si>
  <si>
    <t>Berkurangnya anak-anak putus sekolah setara SMP</t>
  </si>
  <si>
    <t>29</t>
  </si>
  <si>
    <t>Pelaksanaan UNPK C</t>
  </si>
  <si>
    <t>Berkurangnya anak-anak putus sekolah setara SMA</t>
  </si>
  <si>
    <t>Hari Aksara Internasional (HAI)</t>
  </si>
  <si>
    <t>Bertambah wawasan dan pengembangan peserta lomba</t>
  </si>
  <si>
    <t>30</t>
  </si>
  <si>
    <t>Pelatihan Tutor Paket C</t>
  </si>
  <si>
    <t>Meningkatnya SDM Tutor Paket C</t>
  </si>
  <si>
    <t>20</t>
  </si>
  <si>
    <t>Program Peningkatan Mutu Pendidik dan Tenaga Kependidikan</t>
  </si>
  <si>
    <t>Jumlah guru SD dan SMP  Profesional</t>
  </si>
  <si>
    <t>Jumlah Kepala Sekolah Profesional</t>
  </si>
  <si>
    <t>Jumlah Pengawas Sekolah Profesional</t>
  </si>
  <si>
    <t>Pelaksanaan Sertifikasi Pendidik</t>
  </si>
  <si>
    <t>Terseleksinya bahan bahan sertifikasi guru sesuai dengan petunjuk teknis aturan sertifikasi</t>
  </si>
  <si>
    <t>Pembinaan Pusat Pendidikan dan Pelatihan Guru (PPPPG)</t>
  </si>
  <si>
    <t>Mengaktifkan Kegiatan Komunitas guru KKG dan MGMP</t>
  </si>
  <si>
    <t>Pengembangan mutu dan kualitas program pendidikan dan pelatihan bagi pendidik dan tenaga kependidikan</t>
  </si>
  <si>
    <t>Terlaksananya Diklat Manajemen kepala sekolah untuk pelatihan Asesor Penilaian kinerja</t>
  </si>
  <si>
    <t>Pengembangan sistem pendataan dan pemetaan pendidik dan tenaga kependidikan</t>
  </si>
  <si>
    <t>Dokumen analisis kebutuhan guru SD dan SMP</t>
  </si>
  <si>
    <t>Pengembangan Sistem Penghargaan dan Perlindungan terhadap Profesi Pendidik</t>
  </si>
  <si>
    <t>Terdapatnya guru, kepala sekolah dan pengawas berprestasi jenjang TK, SD dan SMP</t>
  </si>
  <si>
    <t>13</t>
  </si>
  <si>
    <t>Penilaian Angka Kredit Tenaga Pendidik</t>
  </si>
  <si>
    <t>Terlaksannya Penilaian Angka Kredit Tenaga Pendidik</t>
  </si>
  <si>
    <t>Sosialisasi juknis pelaksanaan jabatan fungsional guru dan angka kredit guru</t>
  </si>
  <si>
    <t>Terlaksannya Sosialisasi  Juknis</t>
  </si>
  <si>
    <t>14</t>
  </si>
  <si>
    <t>Pelatihan Kompetensi Tenaga Pendidik</t>
  </si>
  <si>
    <t>Terlaksananya Bimtek guru SMP mapel UN</t>
  </si>
  <si>
    <t>31</t>
  </si>
  <si>
    <t>Meningkatnya kopetensi tenaga pendidik PAUD</t>
  </si>
  <si>
    <t>32</t>
  </si>
  <si>
    <t>Magang Tenaga Pendidik PAUD</t>
  </si>
  <si>
    <t>39</t>
  </si>
  <si>
    <t>Bimtek Peningkatan Kompetensi Guru SD</t>
  </si>
  <si>
    <t>Peningkatan mutu pendidikan dengan toreasinya guru kelas SD 1 sampai kelas VI</t>
  </si>
  <si>
    <t>Pembinaan Tim Evaluasi Pembuatan Master Soal SMP</t>
  </si>
  <si>
    <t>Terlaksana pembinaan bagi tim evaluasi tingkat SMP kabupaten Pesisir Selatan</t>
  </si>
  <si>
    <t>Penilaian Hasil Belajar Tingkat Satuan Pendidikan</t>
  </si>
  <si>
    <t>Tersedia aplikasi E-rapor siswa SMP</t>
  </si>
  <si>
    <t>Penyediaan Jasa Tenaga Pendidik Non PNS</t>
  </si>
  <si>
    <t>Terlsedianya Jasa Tenaga Kerja Non PNS</t>
  </si>
  <si>
    <t>Program Manajemen Pelayanan Pendidikan</t>
  </si>
  <si>
    <t>Persentase SD  Berakreditasi B</t>
  </si>
  <si>
    <t>Persentase SMP Berakreditasi B</t>
  </si>
  <si>
    <t>Penerapan Sistem dan Informasi Manajemen Pendidikan</t>
  </si>
  <si>
    <t>Tersedianya media informasi manajemen pendidikan</t>
  </si>
  <si>
    <t>11</t>
  </si>
  <si>
    <t>Sosialisasi dan updating data pokok pendidikan (Dapodik)</t>
  </si>
  <si>
    <t>Jumlah sekolah yang memahami aplikasi dapodik setiap tahunnya</t>
  </si>
  <si>
    <t>Penyelenggaraan Akademi Komunitas</t>
  </si>
  <si>
    <t>Menyelenggarakan Akademi Komunitas</t>
  </si>
  <si>
    <t>Monitoring, Evaluasi dan Pelaporan ( Pelaksanaan Ujian Nasional )</t>
  </si>
  <si>
    <t>Terlaksana kegiatan monitoring dan evaluasi pelaksanaan ujian ujian di SD dan SMP</t>
  </si>
  <si>
    <t>Pendataan dan Pemetaan Capaian Standar Pelayanan Minimal (SPM) Bidang Pendidikan</t>
  </si>
  <si>
    <t>Jumlah sekolah yang telah terpetakan SPM</t>
  </si>
  <si>
    <t>Pengembangan Sistem Perencanaan Data Penjaminan Mutu Pendidikan</t>
  </si>
  <si>
    <t>Jumlah sekolah yang telah terpetakan  8 SNP</t>
  </si>
  <si>
    <t>Pelestarian nilai-nilai seni dan budaya</t>
  </si>
  <si>
    <t>BUDAYA</t>
  </si>
  <si>
    <t>Jumlah pengelola PAUD yang mengikuti pelatihan verifikasi PTK PAUD</t>
  </si>
  <si>
    <t>Jumlah peserta didik PAUD yang berpartisipasi dalam lomba tingkat kabupaten dan provinsi</t>
  </si>
  <si>
    <t>Jumlah PAUD yang dibina</t>
  </si>
  <si>
    <t>Jumlah PAUD yang dikoordinasikan</t>
  </si>
  <si>
    <t>Jumlah Tenaga Pendidik yang mengikuti magang</t>
  </si>
  <si>
    <t>Jumlah Event yang diikuti</t>
  </si>
  <si>
    <t>Jumlah Event yang diselenggarakan</t>
  </si>
  <si>
    <t>Jumlah cagar budaya (peninggalan sejarah, museum, dan peninggalan bawah air) yang dipelihara</t>
  </si>
  <si>
    <t>Meningkatkan pelayanan administrasi perkantoran</t>
  </si>
  <si>
    <t>Jumlah cakupan pelayanan admnistrasi perkantoran</t>
  </si>
  <si>
    <t>Dinas Pangan</t>
  </si>
  <si>
    <t>Terlaksananya pembayaran rekening listrik, air, telpon dan faks(bulan)</t>
  </si>
  <si>
    <t>Terlaksananya pembayaran honor dan operasional pengelola keuangan (bulan)</t>
  </si>
  <si>
    <t>Tersedianya alat tulis kantor (bulan)</t>
  </si>
  <si>
    <t>Tersedianya barang cetakan dan penggandaan (bulan)</t>
  </si>
  <si>
    <t>Tersedianya komponen instalasi listrik dan penerangan (bulan)</t>
  </si>
  <si>
    <t>Tersedianya jasa kebersihan dan bahan kebersihan kantor (bulan)</t>
  </si>
  <si>
    <t>Tersedianya  Bahan Bacaan dan Peraturan Perundang-undangan (bulan)</t>
  </si>
  <si>
    <t>17</t>
  </si>
  <si>
    <t>Tersedianya  Makanan dan Minuman (bulan)</t>
  </si>
  <si>
    <t>Tersedianya dana untuk Rapat-rapat Koordinasi dan Konsultasi ke Luar Daerah (bulan)</t>
  </si>
  <si>
    <t>Tersedianya dana untuk Rapat-rapat Koordinasi dan Konsultasi Dalam Daerah (bulan)</t>
  </si>
  <si>
    <t>Meningkatkan pelayanan sarana dan prasarana penunjang bagi aparatur</t>
  </si>
  <si>
    <t>Meningkatnya kecukupan sarana dan prasarana aparatur (persentase)</t>
  </si>
  <si>
    <t>Pengadaan Peralatan Gedung Kantor</t>
  </si>
  <si>
    <t>Tersedianya 1 unit komputer dan printer (unit)</t>
  </si>
  <si>
    <t>Terpeliharanya peralatan kantor (bulan)</t>
  </si>
  <si>
    <t>Pemeliharaan Rutin/Berkala Kendaraan Dinas/ Operasional</t>
  </si>
  <si>
    <t xml:space="preserve">Tersedianya Pemeliharaan Rutin/Berkala Kendaraan Dinas/Operasional (bulan) </t>
  </si>
  <si>
    <t>26</t>
  </si>
  <si>
    <t>Terpeliharanya perlengkapan kantor  (bulan)</t>
  </si>
  <si>
    <t xml:space="preserve">Meningkatkan ketersediaan pangan </t>
  </si>
  <si>
    <t>Program Peningkatan Ketahanan Pangan (Pertanian/ Perkebunan)</t>
  </si>
  <si>
    <t xml:space="preserve">Ketersediaan Energi (kkal/kapita/hari) </t>
  </si>
  <si>
    <t xml:space="preserve"> Protein (gram/kapita/hari)</t>
  </si>
  <si>
    <t>Penanganan Daerah Rawan Pangan</t>
  </si>
  <si>
    <t>Terlaksananya penanganan kasus pada daerah rawan pangan (kk)</t>
  </si>
  <si>
    <t>Pengembangan Desa Mandiri Pangan</t>
  </si>
  <si>
    <t>Jumlah kelompok desa mandiri pangan yang aktif (kelompok)</t>
  </si>
  <si>
    <t>43</t>
  </si>
  <si>
    <t>Penguatan Kelembagaan Cadangan Pangan Masyarakat</t>
  </si>
  <si>
    <t>Jumlah kelompok lumbung pangan yang aktif  (kelompok)</t>
  </si>
  <si>
    <t>Pemantauan Produksi Pangan, Jaringan Distribusi, Pasokan Pangan dan HBKN</t>
  </si>
  <si>
    <t>Tersedianya informasi produksi pangan, jaringan distribusi, pasokan pangan, dan HBKN di 15 Kecamatan (bulan)</t>
  </si>
  <si>
    <t>Penguatan Cadangan Pangan Pemerintah Kabupaten</t>
  </si>
  <si>
    <t>Tersedianya cadangan pangan pemerintah kabupaten pesisir selatan (ton)</t>
  </si>
  <si>
    <t>52</t>
  </si>
  <si>
    <t>Pengembangan Penguatan Lembaga Distribusi Pangan Masyarakat (P-LDPM)</t>
  </si>
  <si>
    <t>Jumlah LDPM  yang aktif (kelompok)</t>
  </si>
  <si>
    <t>57</t>
  </si>
  <si>
    <t>Pengembangan Kawasan Mandiri Pangan</t>
  </si>
  <si>
    <t>Terbentuknya kawasan mandiri pangan (nagari)</t>
  </si>
  <si>
    <t>61</t>
  </si>
  <si>
    <t>Penyusunan Data Base Ketahanan Pangan</t>
  </si>
  <si>
    <t>Tersusunnya dokumen database ketahanan pangan</t>
  </si>
  <si>
    <t>64</t>
  </si>
  <si>
    <t>Pengembangan Usaha Pangan Masyarakat/TTI</t>
  </si>
  <si>
    <t>Terlaksananya pembinaan TTI yang sudah terbentuk (kelompok)</t>
  </si>
  <si>
    <t>68</t>
  </si>
  <si>
    <t>Analisis Ketersediaan Pangan Berdasarkan Analisa Neraca Bahan Makanan (NBM)</t>
  </si>
  <si>
    <t>Jumlah dokumen analisis ketersediaan pangan (dokumen)</t>
  </si>
  <si>
    <t>69</t>
  </si>
  <si>
    <t>Pengembangan Sistem Kewaspadaan Pangan dan Gizi (SKPG)</t>
  </si>
  <si>
    <t>Tersedianya laporan kewaspadaan pangan (bulan)</t>
  </si>
  <si>
    <t>4.</t>
  </si>
  <si>
    <t>Meningkatkan penganekaragaman konsumsi pangan</t>
  </si>
  <si>
    <t>Program Peningkatan diversifikasi dan ketahanan pangan masyarakat</t>
  </si>
  <si>
    <t xml:space="preserve">Tingkat Konsumsi Energi (kkal/kapita/hari </t>
  </si>
  <si>
    <t>Protein (gram/kapita/hari)</t>
  </si>
  <si>
    <t>Peningkatan dan Pengembangan Promosi Penganekaragaman Konsumsi Pangan</t>
  </si>
  <si>
    <t>Jumlah pameran/promosi pangan yang diikuti (kali)</t>
  </si>
  <si>
    <t>Percepatan Penganekaragaman Konsumsi Pangan (Kelompok)</t>
  </si>
  <si>
    <t>Jumlah KRPL yang dibina dan dokumen identifikasi Calon Lokasi KRPL</t>
  </si>
  <si>
    <t>Peningkatan Penanganan Keamanan Pangan Tingkat Produsen dan Konsumen (kali)</t>
  </si>
  <si>
    <t>Jumlah sosialisasi keamanan pangan yang dilaksanakan</t>
  </si>
  <si>
    <t>Penyusunan Pola Pangan Harapan (dokumen)</t>
  </si>
  <si>
    <t>Tersedianya dokumen analisis pola pangan harapan</t>
  </si>
  <si>
    <t>Perumusan Kebijakan Ketahanan Pangan melalui Dewan Ketahanan Pangan (rumusan)</t>
  </si>
  <si>
    <t>Jumlah rumusan yang dihasilkan dari Dewan Ketahanan Pangan</t>
  </si>
  <si>
    <t xml:space="preserve">Tekhnologi Pengolahan Pangan Lokal </t>
  </si>
  <si>
    <t>Jumlah kelompok usaha pangan lokal yang aktif</t>
  </si>
  <si>
    <t>Model Percontohan Kemanan Pangan (nagari)</t>
  </si>
  <si>
    <t xml:space="preserve">persentas perkembangan  nagari aman pangan </t>
  </si>
  <si>
    <t>Gerakan Konsumsi B2SA (Beragam, Bergizi, Seimbang, dan Aman)</t>
  </si>
  <si>
    <t>Jumlah lomba cipta menu B2SA (kali)</t>
  </si>
  <si>
    <t>25</t>
  </si>
  <si>
    <t>Pengawasan Keamanan dan Mutu Pangan</t>
  </si>
  <si>
    <t>Persentase pangan yang aman (persentase)</t>
  </si>
  <si>
    <t>Penyusunan Naskah Akademis Ketahanan Pangan</t>
  </si>
  <si>
    <t>Jumlah naskah dokumen yang dihasilkan (dokumen)</t>
  </si>
  <si>
    <t>Program Pelayanan Administrasi Perkantoran</t>
  </si>
  <si>
    <t>Jumlah pelayanan administrasi perkantoran</t>
  </si>
  <si>
    <t>Dinas Perhubungan</t>
  </si>
  <si>
    <t>Lamanya penggunaan jasa komunikasi, sumber daya air dan listrik</t>
  </si>
  <si>
    <t>Penyediaan peralatan dan perlengkapan kantor</t>
  </si>
  <si>
    <t>Jumlah penyediaan peralatan dan perlengkapan kantor</t>
  </si>
  <si>
    <t>Lamanya penggunaan jasa administrasi keuangan</t>
  </si>
  <si>
    <t>Jumlah penggunaan jasa kebersihan kantor</t>
  </si>
  <si>
    <t>Penyediaan jasa perbaikan peralatan kerja</t>
  </si>
  <si>
    <t>Lamanya pemakaian jasa perbaikan peralatan kerja</t>
  </si>
  <si>
    <t>Lamanya pengunaan alat tulis kantor</t>
  </si>
  <si>
    <t>Lamanya penggunaan barang cetakan dan penggandaan</t>
  </si>
  <si>
    <t>Lamanya pengunaan komponen instalasi listrik/penerangan bangunan kantor</t>
  </si>
  <si>
    <t>Penyediaan bahan bacaan dan peraturan perundang-undangan</t>
  </si>
  <si>
    <t>Jumlah penyediaan bahan bacaan dan peraturan perundang- undangan</t>
  </si>
  <si>
    <t>Lamanya penyediaan makanan dan minuman</t>
  </si>
  <si>
    <t>Lamanya rapat-rapat  kordinasi dan konsultasi ke luar daerah</t>
  </si>
  <si>
    <t>Lamanya rapat-rapat  kordinasi dan konsultasi dalam daerah</t>
  </si>
  <si>
    <t>Penunjang operasional perencanaan dan pelaporan</t>
  </si>
  <si>
    <t>Jumlah penunjang operasional perencanaan dan pelaporan</t>
  </si>
  <si>
    <t>Penyediaan Jasa Tenaga Kerja Non PNS</t>
  </si>
  <si>
    <t>Jumlah jasa tenaga kerja non PNS</t>
  </si>
  <si>
    <t>Persentase peningkatan sarana dan prasarana aparatur</t>
  </si>
  <si>
    <t>Pengadaan meubiler</t>
  </si>
  <si>
    <t>Jumlah pengadaan kendaraan dinas/ operasional</t>
  </si>
  <si>
    <t>pemeliharaan rutin/ berkala gedung kantor</t>
  </si>
  <si>
    <t>Jumlah pemeliharaan rutin/ berkala gedung kantor</t>
  </si>
  <si>
    <t>pemeliharaan rutin/ berkala kendaraan dinas/ operasional</t>
  </si>
  <si>
    <t>Lamanya pemeliharaan  rutin/berkala kendaraan dinas/ operasional</t>
  </si>
  <si>
    <t>16,47</t>
  </si>
  <si>
    <t>Program Peningkatan Displin Aparatur</t>
  </si>
  <si>
    <t>Persentase peningkatan disiplin aparatur</t>
  </si>
  <si>
    <t>Pengadaan Pakaian Dinas Beserta Kelengkapannya (PDH)</t>
  </si>
  <si>
    <t>Terlaksananya Peningkatan Disiplin Aparatur</t>
  </si>
  <si>
    <t>Program Peningkatan Pengembangan Sistem Pelaporan Capaian Kinerja dan Keuangan</t>
  </si>
  <si>
    <t>Persentase Peningkatan Pengembangan Sistem Pelaporan Capaian Kinerja dan Keuangan</t>
  </si>
  <si>
    <t>Monitoring dan Evaluasi Kegiatan</t>
  </si>
  <si>
    <t>Jumlah Monitoring dan Evaluasi kegiatan</t>
  </si>
  <si>
    <t>Program Pembangunan Prasarana dan Fasilitas Perhubungan</t>
  </si>
  <si>
    <t>Jumlah Pembangunan Prasarana dan Fasilitas Perhubungan</t>
  </si>
  <si>
    <t>Pembangunan Fasilitas Transportasi (DAK)</t>
  </si>
  <si>
    <t>Jumlah pembangunan fasilitas transportasi</t>
  </si>
  <si>
    <t>Program Rehabilitasi dan Pemeliharaan Prasarana dan fasilitas LLAJ</t>
  </si>
  <si>
    <t>Jumlah Rehabilitasi dan Pemeliharaan Prasarana dan Fasilitas LLAJ</t>
  </si>
  <si>
    <t>Rehabilitasi/Pemeliharaan Alat Keselamatan Lalu Lintas</t>
  </si>
  <si>
    <t>Jumlah alat keselamatan lalu lintas yang terpelihara</t>
  </si>
  <si>
    <t>Rehabilitas Sarana dan Prasarana Fasilitas Pos Retribusi (TPR)</t>
  </si>
  <si>
    <t>Jumlah pos retribusi (TPR) yang dipelihara</t>
  </si>
  <si>
    <t>Program peningkatan pelayanan angkutan</t>
  </si>
  <si>
    <t>Persentase peningkatan pelayanan angkutan</t>
  </si>
  <si>
    <t>Pengawasan dan Pengendalian LLAJ</t>
  </si>
  <si>
    <t>Lamanya Pengawasan dan Pengendalian LLAJ</t>
  </si>
  <si>
    <t>Operasional pengamanan lalu lintas angkutan laut</t>
  </si>
  <si>
    <t>Lamanya Operasional  Pengamanan  Lalu Lintas Angkutan Laut</t>
  </si>
  <si>
    <t>Pembinaan dan penertiban lalu lintas angkutan laut</t>
  </si>
  <si>
    <t>Lamanya Pembinaan dan Penertiban Lalu Lintas Angkutan Laut</t>
  </si>
  <si>
    <t>Pelajar Pelopor Keselamatan Berlalu lintas</t>
  </si>
  <si>
    <t>Jumlah Pemilihan Pelajar Pelopor Keselamatan Berlalu Lintas</t>
  </si>
  <si>
    <t>Pemilihan Sopir Teladan (Abiyasa)</t>
  </si>
  <si>
    <t>Jumlah Pemilihan Sopir Teladan (Abiyasa)</t>
  </si>
  <si>
    <t>Operasional Transportasi Pelayanan Pendidikan</t>
  </si>
  <si>
    <t>Lamanya Operasional Transportasi Pelayanan pendidikan</t>
  </si>
  <si>
    <t>Program Pembangunan Sarana dan Prasarana Perhubungan</t>
  </si>
  <si>
    <t>Jumlah sarana dan prasarana perhubungan</t>
  </si>
  <si>
    <t>Pembangunan Pagar,Taman Kantor dan Papan Nama (Merk Dinas)</t>
  </si>
  <si>
    <t>Jumlah pembangunan pagar, taman kantor dan papan (merk dinas)</t>
  </si>
  <si>
    <t>Program Pengendalian Pengamanan Lalu lintas</t>
  </si>
  <si>
    <t>Jumlah Alat pengendali dan pengaman lalu lintas</t>
  </si>
  <si>
    <t>Pembangunan Penerangan jalan Umum</t>
  </si>
  <si>
    <t>Jumlah pembangunan penerangan jalan umum</t>
  </si>
  <si>
    <t>Pemeliharaan rutin/berkala Penerangan Jalan Umum</t>
  </si>
  <si>
    <t>Lamanya Pemeliharan rutin/berkala Penerangan Jalan umum</t>
  </si>
  <si>
    <t>Program peningkatan kelaikan pengoperasian kendaraan bermotor</t>
  </si>
  <si>
    <t>Persentase peningkatan kelaikan pengoperasian kendaraan bermotor</t>
  </si>
  <si>
    <t>Pelayanan Pengujian Kendaraan Bermotor</t>
  </si>
  <si>
    <t>Lamanya pelayanan pengujian kendaraan bermotor</t>
  </si>
  <si>
    <t>Pengadaan Alat Uji Mekanis PKB</t>
  </si>
  <si>
    <t>Jumlah Pengadaan alat uji mekanis PKB</t>
  </si>
  <si>
    <t>Program Peningkatan Pelayanan Terminal dan Perparkiran</t>
  </si>
  <si>
    <t>Persentase Peningkatan Pelayanan Terminal dan Perpakiran</t>
  </si>
  <si>
    <t>Pelayanan Terminal dan Perparkiran</t>
  </si>
  <si>
    <t>Lamanya Pelayanan Terminal dan Perparkiran</t>
  </si>
  <si>
    <t>3</t>
  </si>
  <si>
    <t>Progam Peningkatan dan Pengembangan Pengelolaan Keuangan Daerah</t>
  </si>
  <si>
    <t>Persentase Peningkatan dan Pengembangan Pengelolaan Keuangan</t>
  </si>
  <si>
    <t>Pelayanan Pemungutan Pajak dan Retribusi Daerah</t>
  </si>
  <si>
    <t>Lamanya Pelayanan Pemungutan Pajak dan Retribusi Daerah</t>
  </si>
  <si>
    <t>Rata-rata capaian kinerja (%)</t>
  </si>
  <si>
    <t>Predikat kinerja       : Sangat Baik</t>
  </si>
  <si>
    <t>Meningkatnya pelayanan,sarana,monitoring administrasi perkantoran</t>
  </si>
  <si>
    <t>Program Pelayanan Adminsitrasi Perkantoran</t>
  </si>
  <si>
    <t>Persentase Pelayanan Adminstrasi perkantoran</t>
  </si>
  <si>
    <t>Dinas Kominfo</t>
  </si>
  <si>
    <t>Penyedian Jasa Komunikasi,Sumber Daya Air dan Listrik</t>
  </si>
  <si>
    <t>Kebutuhan air,listrik dan jasa komunikasi</t>
  </si>
  <si>
    <t>Penyedian Jasa Adminstrasi Keuangan</t>
  </si>
  <si>
    <t>Kebutuhan Jasa adminstrasi keuangan (%)</t>
  </si>
  <si>
    <t>Penyediaan  Jasa Kebersihan Kantor</t>
  </si>
  <si>
    <t>Kebutuhan jasa kebersihan kantor (%)</t>
  </si>
  <si>
    <t>Penyediaan  Jasa Perbaikan Peralatan Kerja</t>
  </si>
  <si>
    <t>Peralatan kerja yang terkondisi dengan baik (%)</t>
  </si>
  <si>
    <t>Kebutuhan Alat Tulis Kantor (%)</t>
  </si>
  <si>
    <t>Barang cetakan dan penggandaan untuk kantor (%)</t>
  </si>
  <si>
    <t>Penyediaan Komponen Instalansi listrik Penerangan Bangunan Kantor</t>
  </si>
  <si>
    <t>Komponen penerangan bangunan kantor (%)</t>
  </si>
  <si>
    <t>Penyediaan Bahan Bacaan  dan Peraturan Perundang-undangan</t>
  </si>
  <si>
    <t>Bahan bacaan (surat Kabar) media informasi ( 3 media)</t>
  </si>
  <si>
    <t>Makan minum rapat dan tamu</t>
  </si>
  <si>
    <t>Rapat-rapat koordinasi dan konsultasi keluar daerah</t>
  </si>
  <si>
    <t>Pelaksanaan rapat-rapat koordinasi luar daerah (%)</t>
  </si>
  <si>
    <t>Rapat-rapat koordinasi dan konsultasi dalam daerah</t>
  </si>
  <si>
    <t>Pelaksaanan rapat-rapat koordinasi dalam daerah (%)</t>
  </si>
  <si>
    <t>Jumlah Penyusunan laporan perencanaan (dokumen)</t>
  </si>
  <si>
    <t>Persentase peningkatan saran prasarana kantor</t>
  </si>
  <si>
    <t>Pemeliharaan rutin berkala gedung dan halaman kantor (%)</t>
  </si>
  <si>
    <t>Pemeliharaan rutin berkala kendaraan dinas</t>
  </si>
  <si>
    <t>Pengadaan Kendaraan Roda 2</t>
  </si>
  <si>
    <t>Jumlah Kendaraaan Roda 2</t>
  </si>
  <si>
    <t>Pengadaan Peralatan Kantor</t>
  </si>
  <si>
    <t>Jumlah Peralatan Kantor</t>
  </si>
  <si>
    <t>Program  Peningkatan Kapasitas Sumber Daya Aparatur</t>
  </si>
  <si>
    <t>Jumlah data pelaksanaan kegiatan</t>
  </si>
  <si>
    <t>Monitoring dan Evaluasi Kegiatan</t>
  </si>
  <si>
    <t>Data dan informasi realisasi Pelaksanaan program dan Kegiatan</t>
  </si>
  <si>
    <t>Meningkatnya layanan komunikasi dan informatika</t>
  </si>
  <si>
    <t>Program Kerjasma Informasi dan Media Massa</t>
  </si>
  <si>
    <t>Jumlah informasi pemerintah daerah yang dipublikasi dan evaluasi (Dokumen)</t>
  </si>
  <si>
    <t>Pengumpulan dan Penyebaran Informasi Daerah melalui Website</t>
  </si>
  <si>
    <t>Penyebaran informasi  kebijakan pemerintah daerah (berita dan artikel)</t>
  </si>
  <si>
    <t>Publikasi dan Promosi Daerah</t>
  </si>
  <si>
    <t>Terpublikasi dan terpromosinya daerah  (TV dan media online)</t>
  </si>
  <si>
    <t>Program Peningkatan Akses Informasi dan Komunikasi</t>
  </si>
  <si>
    <t>Laporan evaluasi dari askses informasi komunikasi (dokumen)</t>
  </si>
  <si>
    <t>Pengembangan dan pemberdayaan Kelompok Informasi Masyarakat</t>
  </si>
  <si>
    <t>Tersedianya Kelompok Informasi Masyarakat</t>
  </si>
  <si>
    <t>Operasional Penerangan Keliling,Pameran dan Posko Informasi</t>
  </si>
  <si>
    <t>Operasional Penyebaran informasi Pemda melalui Mopen dan Pameran (%)</t>
  </si>
  <si>
    <t>Operasional LPPL Radio Langkisau FM</t>
  </si>
  <si>
    <t>Penyebaran informasi Pemda melalui radio Langkisau FM (%)</t>
  </si>
  <si>
    <t>Operasional Pelayanan Informasi Publik</t>
  </si>
  <si>
    <t>Sumber Daya Manusia yang mampu melayani masyarakat dalam pelayanan informasi publik (orang)</t>
  </si>
  <si>
    <t>Meningkatnya kualitas layanana teknologi informasi</t>
  </si>
  <si>
    <t>Program Pengembangan Komunikasi,Informasi dan Media Massa</t>
  </si>
  <si>
    <t>Laporan evaluasi dari Pearturan tentang Kominfo (dokumen)</t>
  </si>
  <si>
    <t>Perencanaan  dan Pengembangan Kebijakan Komunikasi dan Informatika</t>
  </si>
  <si>
    <t>Peraturan Perundang-undangan bid.kominfo (dokumen)</t>
  </si>
  <si>
    <t>Sosialisasi Peraturan Perundang-undangan Komunikasi dan Informatika</t>
  </si>
  <si>
    <t>Pelaksanaan Sosialisasi Peraturan Perundang-undangan Kominfo (orang)</t>
  </si>
  <si>
    <t>Program Fasilitasi Peningkatan SDM Bidang Komunikasi dan Informatika</t>
  </si>
  <si>
    <t>Peningkatan kualitas SDM IT</t>
  </si>
  <si>
    <t>Pelatihan /Bimbingan Teknis SDM TIK</t>
  </si>
  <si>
    <t>Bimtek peningkatan SDM bidang TIK (orang)</t>
  </si>
  <si>
    <t>Program Peningkatan  Akses Informasi dan Komunikasi</t>
  </si>
  <si>
    <t>Akses Informasi dan Komunikasi Pemerintah Daerah</t>
  </si>
  <si>
    <t>Pembuatan Master Plan Teknologi Informasi Komunikasi Kab.Pesisir Selatan</t>
  </si>
  <si>
    <t>Buku Perencanaan dan Panduan Penyusunan Perencanaan Pengembangan TIK Kab.Pessel (dokumen)</t>
  </si>
  <si>
    <t>Pembangunan infrastruktur TIK Kab.Pessel</t>
  </si>
  <si>
    <t>Penguatan signal  selular dan pemasangan CCTV (%)</t>
  </si>
  <si>
    <t>Program Penyelengaraan E Government</t>
  </si>
  <si>
    <t>Pembangunan dan Pengembangan Program Aplikasi Elektronik</t>
  </si>
  <si>
    <t>Aplikasi Elektronik Pemerintah (%)</t>
  </si>
  <si>
    <t>Pengembangan Smart City</t>
  </si>
  <si>
    <t>Layanan internet dan intranet (perangkat Daerah)</t>
  </si>
  <si>
    <t>Pengawasan dan Pengendalian Jaringan dan Data TIK (%)</t>
  </si>
  <si>
    <t>Perawatan jaringandan komunikasi data</t>
  </si>
  <si>
    <t>Meningkatnya kualitas data pemerintah daerah</t>
  </si>
  <si>
    <t>Data Statistik sektoral untuk Perangkat Daerah</t>
  </si>
  <si>
    <t>Pengumpulan data statistik sektoral</t>
  </si>
  <si>
    <t>Data Sektoral Perangkat Daerah (buku)</t>
  </si>
  <si>
    <t>Penyediaan Data Pesisir Selatan Dalam Angka</t>
  </si>
  <si>
    <t>Data Pesisir Selatan Dalam Angka (buku)</t>
  </si>
  <si>
    <t>Penyelenggaraan Persandian dan Keamanan  informasi daerah</t>
  </si>
  <si>
    <t>Pengamanan aplikasi pemerintah daerah (aplikasi)</t>
  </si>
  <si>
    <t>Meningkatnya Pelayanan Administrasi Perkantoran</t>
  </si>
  <si>
    <t>DPMDPPKB</t>
  </si>
  <si>
    <t>Meningkatkan Pelayanan administrasi  Perkantoran</t>
  </si>
  <si>
    <t>Penyedian Jasa Komunikasi, Sumber Daya Air dan  Listrik</t>
  </si>
  <si>
    <t>telpon, air, listrik (12 Bulan)</t>
  </si>
  <si>
    <t>Penyedian Jasa Pemeliharaan dan Perizinan Kendaraan Dinas/Operasional</t>
  </si>
  <si>
    <t>Roda 4 sebanyak 6 Unit</t>
  </si>
  <si>
    <t>Roda 2 sebanyak 70 Unit</t>
  </si>
  <si>
    <t>Penyedian Jasa Administrasi keuangan</t>
  </si>
  <si>
    <t>Honor penunjang kelancaran administrasi perkantoran(12 Bulan)</t>
  </si>
  <si>
    <t>Penyedian jasa kebersihan Kantor</t>
  </si>
  <si>
    <t>biaya kebersihan Kantor</t>
  </si>
  <si>
    <t>Penyedian jasa perbaikan peralatan kerja</t>
  </si>
  <si>
    <t>Perbaikan Genset</t>
  </si>
  <si>
    <t>Perbaikan Laptop</t>
  </si>
  <si>
    <t>Perbaikan AC, Sound System dan Mesin Tik</t>
  </si>
  <si>
    <t>Penyedian alat tulis kantor</t>
  </si>
  <si>
    <t>ATK Klantor</t>
  </si>
  <si>
    <t>Penyedian Barang cetak dan pengandaan</t>
  </si>
  <si>
    <t xml:space="preserve">Cetak dan penggandaan </t>
  </si>
  <si>
    <t>Penyedian kompopnen intalasi listrik/penerangan Bangunan Kantor</t>
  </si>
  <si>
    <t>alat alat elektronik kantor</t>
  </si>
  <si>
    <t>alat perlengkapan kantor</t>
  </si>
  <si>
    <t>lemari arsip</t>
  </si>
  <si>
    <t>Penyedian Bahan bacaan dan Peraturan Perundang undangan</t>
  </si>
  <si>
    <t>Koran 2 terbitan</t>
  </si>
  <si>
    <t>Penyedian makan dan minunm</t>
  </si>
  <si>
    <t>makan minum tamu</t>
  </si>
  <si>
    <t>makan minum rapat</t>
  </si>
  <si>
    <t>Rapat rapat koordinasi dan konsultasi keluar daerah</t>
  </si>
  <si>
    <t>Rapat Koordinasi dalam propionsi</t>
  </si>
  <si>
    <t>Rapat Kooerdinasi Luar Propinsi</t>
  </si>
  <si>
    <t>Rapat rapat koordinasi dan konsultasi Dalam daerah</t>
  </si>
  <si>
    <t>Rapat koordinasi dalam daerah</t>
  </si>
  <si>
    <t>Pemeliharaan Rutin/Berkala gedung dan kantor</t>
  </si>
  <si>
    <t>ganti pintu mushola</t>
  </si>
  <si>
    <t>Ganti Pagar</t>
  </si>
  <si>
    <t>Cor Halaman Kantor</t>
  </si>
  <si>
    <t>Program Peningkatan Keberdayaan Masyarakat Perdesaan</t>
  </si>
  <si>
    <t>Meningkatnya Partisipasi Masyarakat Nagari</t>
  </si>
  <si>
    <t>Pencanangan dan Penilaian Bulan Bhakti Gotong royong Masyarakat (BBGRM) Tingjkat Kabupaten</t>
  </si>
  <si>
    <t>1 kali pencanangan BBGRM TK. Kab. Pessel</t>
  </si>
  <si>
    <t>Meningkatkan Nagari yang berkembang</t>
  </si>
  <si>
    <t>Pemuthakhiran Data Profil dan Data IDM Nagari</t>
  </si>
  <si>
    <t>182 data IDM</t>
  </si>
  <si>
    <t>Pembinaan Nagari Berprestasi Tingkat Kabupaten</t>
  </si>
  <si>
    <t>Nagari Berprestasi</t>
  </si>
  <si>
    <t>Program Pengembangan Lembaga Ekonomi Perdesaan/ Nagari</t>
  </si>
  <si>
    <t>Pembinaan dan Pelatihan Bumnag dan Lembaga Ekonomi Masyarakat Nagari</t>
  </si>
  <si>
    <t>Rakor Bumnag</t>
  </si>
  <si>
    <t>Program Peningkatan Partisipasi Masyarakat Dalam Membangun Desa/Nagari</t>
  </si>
  <si>
    <t>Pendampingan Pelaksanaan TMND</t>
  </si>
  <si>
    <t>TMMN/TMMD</t>
  </si>
  <si>
    <t>Program Pemberdayaan Lembaga Pemerintahan Desa/ Nagari</t>
  </si>
  <si>
    <t>Fasilitasi Pemekaran, Penilaian Bamus Nagari dan Wali Nagari</t>
  </si>
  <si>
    <t>Pemilihan 105 Nagari</t>
  </si>
  <si>
    <t>Pembinaan dan Monitoring Pemerintahan Nagari</t>
  </si>
  <si>
    <t>monev 90 Keuangan Nagari</t>
  </si>
  <si>
    <t>Penyusnan Ranperda dan peraturan Bupati Pesisir Selatan Tentang Pemerintahan Nagari</t>
  </si>
  <si>
    <t>4 Perbub</t>
  </si>
  <si>
    <t>Penyelesaian Konflik Pemerintahan Nagari</t>
  </si>
  <si>
    <t>25 Nagari</t>
  </si>
  <si>
    <t>Pemberdayaan Lembaga Sosial dan Ekonomi Masyarakat/ Nagari</t>
  </si>
  <si>
    <t>Pembinaan Administrasi Program Pembangunan Desa dan Pemberdayaan Masyaerakat Desa/Nagari (P3MD)</t>
  </si>
  <si>
    <t>Rakor P3MD 4 Kali</t>
  </si>
  <si>
    <t>Pemberdayaan Kelembagaan Tim Penggerak PKK Kabupaten</t>
  </si>
  <si>
    <t>Orientasi  PKK</t>
  </si>
  <si>
    <t>Jambore PKK</t>
  </si>
  <si>
    <t>HKG PKK</t>
  </si>
  <si>
    <t>Lomba Dasa wisma</t>
  </si>
  <si>
    <t>Lomba Posyandu</t>
  </si>
  <si>
    <t>Pemberdayaan Keberlanjutan Badan Pengelolah Sarana Prasarana Air Minum dan Sanitasi Nagari (BP-SPAMS)</t>
  </si>
  <si>
    <t>Monev 105 BP-SPAMS</t>
  </si>
  <si>
    <t>Program Pengembangan Kawasan Perdesaan</t>
  </si>
  <si>
    <t>Pembinaan Potensi Kawasan Perdesaan /Nagari</t>
  </si>
  <si>
    <t>Monev 3 Kawasan</t>
  </si>
  <si>
    <t>Pembentukan 1 kawasan</t>
  </si>
  <si>
    <t>Program Peningkatan Sara dan Prasarana Aparatur</t>
  </si>
  <si>
    <t>Peningkatan Sarana dan Prasarana Pelayanan Keluarga Berencana (DAK Bidang Keluarga Berencana)</t>
  </si>
  <si>
    <t>Pengadaan Sarana dan Prasarana Pelayanan Keluarga Berencana (DAK Fisik KB)</t>
  </si>
  <si>
    <t xml:space="preserve">Pengadaan Komputer </t>
  </si>
  <si>
    <t>LCD Proyektor</t>
  </si>
  <si>
    <t>Lemari penyimpanan alokon</t>
  </si>
  <si>
    <t>Pengadaan Sarana dan Prasarana Pelayanan Keluarga Berencana (Penunjang DAK Fisik KB)</t>
  </si>
  <si>
    <t>Honor Penagadaan Barang Jasa</t>
  </si>
  <si>
    <t>Honor Penerima Barang dan Jasa</t>
  </si>
  <si>
    <t>Operasional  Balai Penyuluh  Keluarga Berencana ( DAK Non Fisik KB)</t>
  </si>
  <si>
    <t>ATK Balai Penyulu</t>
  </si>
  <si>
    <t>Listrik Balai Penyuluh</t>
  </si>
  <si>
    <t>Internet Balai Penyuluh</t>
  </si>
  <si>
    <t>Air Balai Penyuluh</t>
  </si>
  <si>
    <t>Program Penguatan Kelembagaan</t>
  </si>
  <si>
    <t>Membangun jaringan Kemitraan dengan institusi peduliu kependudukan keluarga berencana dan pembangunan keluarga</t>
  </si>
  <si>
    <t>Pemilihan KB Lestari</t>
  </si>
  <si>
    <t>Pemilihsn Keluarga Harmonis</t>
  </si>
  <si>
    <t>Jambore Saka Kencana</t>
  </si>
  <si>
    <t>Perbaikan alat alat kerja kantor</t>
  </si>
  <si>
    <t>Program Pelayanan Keluarga Berencana</t>
  </si>
  <si>
    <t>Bhakti KB Kes IBI/IDI/TNI/Bahangkara/PKK dan Jambore</t>
  </si>
  <si>
    <t>IUD</t>
  </si>
  <si>
    <t>MOW</t>
  </si>
  <si>
    <t>MOP</t>
  </si>
  <si>
    <t>Pencan Bhakti IBI KB</t>
  </si>
  <si>
    <t>Pencan Bhakti TNI KB Kes</t>
  </si>
  <si>
    <t>Pencan Bhakti PKK KB Kes</t>
  </si>
  <si>
    <t>Program Pengembangan Pemasaran Parawisata</t>
  </si>
  <si>
    <t>Pelaksanaan Pestival Langkisau</t>
  </si>
  <si>
    <t>festival Langkisau</t>
  </si>
  <si>
    <t>Festifal Mandeh</t>
  </si>
  <si>
    <t>Meningkatkan nilai Produksi peternakan</t>
  </si>
  <si>
    <t>Program Peningkatan Produksi Hasil Peternakan</t>
  </si>
  <si>
    <t>Populasi ternak</t>
  </si>
  <si>
    <t>Dinas Peternakan dan Kesehatan Hewan</t>
  </si>
  <si>
    <t>- Sapi Potong</t>
  </si>
  <si>
    <t>- Kerbau</t>
  </si>
  <si>
    <t>- Kambing</t>
  </si>
  <si>
    <t>- Ayam Buras</t>
  </si>
  <si>
    <t>- Ayam Ras Petelur</t>
  </si>
  <si>
    <t>- Ayam Ras Pedaging</t>
  </si>
  <si>
    <t>- Itik</t>
  </si>
  <si>
    <t>Produksi ternak (kg)</t>
  </si>
  <si>
    <t xml:space="preserve">- Daging Sapi </t>
  </si>
  <si>
    <t>- Daging Kerbau</t>
  </si>
  <si>
    <t>- Daging Kambing</t>
  </si>
  <si>
    <t>- Daging Ayam Buras</t>
  </si>
  <si>
    <t>- Daging Ayam Ras Petelur</t>
  </si>
  <si>
    <t>- Daging Ayam Ras Pedaging</t>
  </si>
  <si>
    <t>- Daging Itik</t>
  </si>
  <si>
    <t>- Telur Ayam Ras</t>
  </si>
  <si>
    <t>- Telur Ayam Buras</t>
  </si>
  <si>
    <t>- Telur Itik</t>
  </si>
  <si>
    <t>Pembibitan dan Perawatan Ternak</t>
  </si>
  <si>
    <t>Terlaksananya operasionnal pemeliharaan ternak di P4 Lengayang</t>
  </si>
  <si>
    <t>Disnakkeswan</t>
  </si>
  <si>
    <t>Pembelian dan Pendistribusian Vaksin dan Pakan Ternak</t>
  </si>
  <si>
    <t>Tersedianya vaksin dan obat2an ternak</t>
  </si>
  <si>
    <t>Peningkatan Mutu Genetik Melalui IB</t>
  </si>
  <si>
    <t>Terlayaninya akseptor IB</t>
  </si>
  <si>
    <t>Pemberdayaan Kelembagaan dan Usaha Peternakan</t>
  </si>
  <si>
    <t>Jumlah petani ternak yang dilatih dan mendapat sosialisasi</t>
  </si>
  <si>
    <t>Budidaya Itik Bayang</t>
  </si>
  <si>
    <t xml:space="preserve">Terlaksananya penetasan telur itik yang distribusikan ke kelompok tani ternak </t>
  </si>
  <si>
    <t>Budidaya ayam lokal</t>
  </si>
  <si>
    <t>Terlaksananya penetasan telur ayam lokal dan budidaya ayam lokal</t>
  </si>
  <si>
    <t>Peningkatan Sarana Prasarana Peternakan (DAK)</t>
  </si>
  <si>
    <t>Terlaksananya pembangunan sarana prasarana petternakan</t>
  </si>
  <si>
    <t>Pengembangan ternak untuk menunjang percepatan pembangunan</t>
  </si>
  <si>
    <t>Terdistribusikannya ternak kepada masyarakat</t>
  </si>
  <si>
    <t>Program Pengembangan Agribisnis Peternakan</t>
  </si>
  <si>
    <t>Pencapaian swasembada daging sapi dan kerbau</t>
  </si>
  <si>
    <t>tersedianya operasional kegiatan APBN</t>
  </si>
  <si>
    <t>Program Pencegahan   dan penanggulangan penyakit menular</t>
  </si>
  <si>
    <t xml:space="preserve">-Jumlah hewan ternak yang divaksinasi </t>
  </si>
  <si>
    <t xml:space="preserve">- biosecurity </t>
  </si>
  <si>
    <t>- vaksin SE</t>
  </si>
  <si>
    <t>- vaksin rabies</t>
  </si>
  <si>
    <t>- penanganan gangguan reproduksi</t>
  </si>
  <si>
    <t>Program Peningkatan Pemasaran Hasil Produksi Ternak</t>
  </si>
  <si>
    <t>Even Promosi yang diikuti</t>
  </si>
  <si>
    <t>Promosi atas hasil Produksi Peternakan Unggulan Daerah</t>
  </si>
  <si>
    <t>Even Promosi</t>
  </si>
  <si>
    <t>Program Peningkatan Penerapan Teknologi Peternakan</t>
  </si>
  <si>
    <t>Jumlah teknologi yang diterapkan</t>
  </si>
  <si>
    <t>Penerapan Teknologi Peternakan</t>
  </si>
  <si>
    <t xml:space="preserve">jumlah teknologi yang diterapkan kelompok </t>
  </si>
  <si>
    <t>Program Peningkatan Sarana Prasarana Peternakan</t>
  </si>
  <si>
    <t xml:space="preserve">Jumlah sarana prasarana peternakan yang tersedia </t>
  </si>
  <si>
    <t>Peningkatan Sarana Prasarana Peternakan</t>
  </si>
  <si>
    <t>Tersedianya sarana prasarana peternakan</t>
  </si>
  <si>
    <t>Menurunnya kejadian penyakit hewan menular dan zoonosis</t>
  </si>
  <si>
    <t>Pemeliharaan Kesehatan Hewan</t>
  </si>
  <si>
    <t>Pengendalian dan Pemberantasan Penyakit Rabies</t>
  </si>
  <si>
    <t>Terkendalinya ternak yang terjangkit penyakit endemik</t>
  </si>
  <si>
    <t>Pengawasan Perdagangan Ternak Antar Daerah</t>
  </si>
  <si>
    <t xml:space="preserve">terlaksananya pengawasan lalu lintas ternak, bahan asal ternak dan hasil bahan asal ternak </t>
  </si>
  <si>
    <t>Penyusunan Ranperda Rabies</t>
  </si>
  <si>
    <t>Tersedianya Ranperda Rabies</t>
  </si>
  <si>
    <t>Tersedianya sarana prasarana pelayanan administrasi perkantoran</t>
  </si>
  <si>
    <t>Program pelayanan administrasi peerkantoran</t>
  </si>
  <si>
    <t>terlaksananya pelayanan administrasi perkantoran</t>
  </si>
  <si>
    <t>Penyediaan jasa komunikasi, sumber daya air dan listrik</t>
  </si>
  <si>
    <t>Terlaksananya pembayaran rekening listrik, air dan telpon kantor</t>
  </si>
  <si>
    <t>Terlaksananya pembayaran honor jasa administrasi keuangan</t>
  </si>
  <si>
    <t>Penyediaan jasa kebersihan kantor</t>
  </si>
  <si>
    <t>Terlaksananya pemeliharaan kebersihan kantor</t>
  </si>
  <si>
    <t>Penyediaan jasa perbaikan peralatan kerja</t>
  </si>
  <si>
    <t>Terlaksananya perbaikan peralatan dan perlengkapan kantor</t>
  </si>
  <si>
    <t>Penyediaan alat tulis kantor</t>
  </si>
  <si>
    <t xml:space="preserve">Tersedianya ATK </t>
  </si>
  <si>
    <t>Penyediaan barang cetakan dan penggandaan</t>
  </si>
  <si>
    <t>Terlaksananya administrasi perkantoran</t>
  </si>
  <si>
    <t>Penyediaan komponen instalasi listrik/penerangan bangunan kantor</t>
  </si>
  <si>
    <t>Tersedianya komponen listrik /penerangan gedung kantor</t>
  </si>
  <si>
    <t>Penyediaan bahan bacaan dan peraturan perundang-undangan</t>
  </si>
  <si>
    <t>Tersedianya bahan bacaan dan peraturan perundang-undangan</t>
  </si>
  <si>
    <t>Tersedianya makanan dan minuman untuk peserta rapat dan tamu dinas</t>
  </si>
  <si>
    <t>Rapat-rapat koordinasai dan konsultasi keluar daerah</t>
  </si>
  <si>
    <t>Terlaksananya koordinasi dan konsultasi keluar daerah</t>
  </si>
  <si>
    <t>Rapat-rapat koordinasai dan konsultasi dalam daerah</t>
  </si>
  <si>
    <t>Terlaksananya koordinasi dan konsultasi dalam daerah</t>
  </si>
  <si>
    <t>Penunjang operasional perencanaan</t>
  </si>
  <si>
    <t>Terlaksananya penunjang operasional perencanaan</t>
  </si>
  <si>
    <t>Program Peningkatan  Sarana dan Prasarana Aparatur</t>
  </si>
  <si>
    <t>Pengadaan mobeleur</t>
  </si>
  <si>
    <t>Tersedianya mobeleur kantor</t>
  </si>
  <si>
    <t>Pemeliharaan rutin/berkala gedung kator</t>
  </si>
  <si>
    <t>Terpeliharanya gedung kantor</t>
  </si>
  <si>
    <t xml:space="preserve">Pemeliharaan rutin/berkala kendaraan operasional </t>
  </si>
  <si>
    <t xml:space="preserve">terpeliharanya kendaraan dinas/operasional </t>
  </si>
  <si>
    <t>Pengadaan peralatan kantor</t>
  </si>
  <si>
    <t>tersedianya peralatan kantor</t>
  </si>
  <si>
    <t>Penyusunan Laporan Tahunan dan Statistik</t>
  </si>
  <si>
    <t>Tersusunnya laporan tahunan</t>
  </si>
  <si>
    <t>INSPEKTORAT</t>
  </si>
  <si>
    <t>KEPEGAWAIAN</t>
  </si>
  <si>
    <t>PENELITIAN DAN PENGEMBANGAN</t>
  </si>
  <si>
    <t>DINAS PETERNAKAN</t>
  </si>
  <si>
    <t>DINAS TANAMAN PANGAN, HORTIKULTURA DAN PERKEBUNAN</t>
  </si>
  <si>
    <t>BADAN PENDAPATAN DAERAH</t>
  </si>
  <si>
    <t>Terlaksananya Program Pelayanan Administrasi Perkantoran</t>
  </si>
  <si>
    <t>Badan Pendapatan</t>
  </si>
  <si>
    <t>Meningkatnya pelayanan dalam penyelenggaraan pemerintahan dan pelayanan umum lainnya untuk memfasilitasi pelaksanaan program-program pembangunan daerah.</t>
  </si>
  <si>
    <t xml:space="preserve">Terlaksananya jasa komunikasi sumber daya air dan listrik </t>
  </si>
  <si>
    <t>Terlaksananya Program Peningkatan Sarana dan Prasarana Aparatur</t>
  </si>
  <si>
    <t>Pembangunan baru pagar dan Merk Kantor Bapen</t>
  </si>
  <si>
    <t>Terlaksananya pembangunan pagar</t>
  </si>
  <si>
    <t xml:space="preserve">Pengecoran Beton Halaman Kantor </t>
  </si>
  <si>
    <t>Terlaksananya Pengecoran halaman kantor</t>
  </si>
  <si>
    <t>Pembangunan Tempat Parkir Roda 4 dan  roda 2</t>
  </si>
  <si>
    <t>Terlaksananya Pembangunan Tempat Parkir Roda 4 dan  roda 3</t>
  </si>
  <si>
    <t>Pembuatan Baru Baliho Permanen Informasi Pajak Daerah</t>
  </si>
  <si>
    <t>Terlaksananya Pembuatan Baru Baliho Permanen Informasi Pajak Daerah</t>
  </si>
  <si>
    <t xml:space="preserve">Pembuatan Baru Videotron  informasi Pelayanan Pajak ukuran 2 M x 3 M </t>
  </si>
  <si>
    <t>Tersedianya papan informasi yang representatif</t>
  </si>
  <si>
    <t xml:space="preserve">Pembuatan DED Pembangunan Baru  Gedung Badan Pendapatan Lantai II </t>
  </si>
  <si>
    <t xml:space="preserve">Tersedianya DED Pembangunan Baru  Gedung Badan Pendapatan Lantai II </t>
  </si>
  <si>
    <t>Pembuatan UKL dan UPL</t>
  </si>
  <si>
    <t>tersedianya dokumen UPL dan UKL</t>
  </si>
  <si>
    <t>Pembangunan gedung baru dua lantai</t>
  </si>
  <si>
    <t>Tersedianya gedung baru dua lantai</t>
  </si>
  <si>
    <t>Pengadaan Mesin Prin Tonic</t>
  </si>
  <si>
    <t>Tersedianya Mesin Prin Tonic</t>
  </si>
  <si>
    <t>Pengadaan Perlengkapan Gedung Kantor</t>
  </si>
  <si>
    <t>Tersedianya Perlengkapan Gedung Kantor</t>
  </si>
  <si>
    <t>Tersedianya  Peralatan Gedung Kantor</t>
  </si>
  <si>
    <t>Pengadaan Meubiler</t>
  </si>
  <si>
    <t>Tersedianya  Meubiler</t>
  </si>
  <si>
    <t>Terlaksananya Pemeliharaan Rutin/Berkala Gedung Kantor</t>
  </si>
  <si>
    <t>Pemeliharaan Rutin/Berkala Kenderaan Dinas</t>
  </si>
  <si>
    <t>Terlaksananya Pemeliharaan Rutin/Berkala Kenderaan Dinas</t>
  </si>
  <si>
    <t>Penyediaan Jasa Perbaikan Peralatan Kantor</t>
  </si>
  <si>
    <t>Terlaksananya Operasional kantor</t>
  </si>
  <si>
    <t>Terlaksananya peningkatan kapasitas Sumber Daya Aparatur</t>
  </si>
  <si>
    <t>Meningkatnya Kapasitas Aparatur Sipil Negara (ASN) Badan Pendapatan</t>
  </si>
  <si>
    <t>Terlaksananya pengembangan Data/Informasi</t>
  </si>
  <si>
    <t>Penyebarluasan Informasi Pembangunan</t>
  </si>
  <si>
    <t>Tersusunnya Laaporan Capaian Kinerja</t>
  </si>
  <si>
    <t>Penyusunan Laporan Capaian Kinerja dan Ikhtisar Realisasi Kinerja SKPD</t>
  </si>
  <si>
    <t>Terlaksananya Peningkatan Pengembangan Pengelolaan Keuangan Daerah</t>
  </si>
  <si>
    <t>Terwujudnya peningkatan pengendalian monitoring pelaporan dan rekonsiliasi dengan instansi terkait</t>
  </si>
  <si>
    <t>Terwujudnya Penerimaan dan Pendapatan Asli Daerah</t>
  </si>
  <si>
    <t>Pemutakhiran Data piutang PBB-P2</t>
  </si>
  <si>
    <t>Tersedianya piutang PBB P2 yang pasti</t>
  </si>
  <si>
    <t>Terwujudnya pembinaan penertiban pajak dan retribusi penggalian potensi sumber sumber pendapatan asli daerah</t>
  </si>
  <si>
    <t>Rekonsiliasi dan optimalisasi Penerimaan PAD</t>
  </si>
  <si>
    <t>Terlaksananya Rekonsiliasi dan optimalisasi Penerimaan PAD</t>
  </si>
  <si>
    <t>Pembuatan Ranperda Jasa Umum</t>
  </si>
  <si>
    <t>Tersedianya peraturan tentang retribusi jasa umum</t>
  </si>
  <si>
    <t>Pembuatan Ranperda Jasa Usaha</t>
  </si>
  <si>
    <t>Tersedianya peraturan tentang retribusi jasa usaha</t>
  </si>
  <si>
    <t xml:space="preserve">Pembuatan Ranperda Retribusi Perizinan tertentu </t>
  </si>
  <si>
    <t>Tersedianya peraturan tentang retribusi perizinan tertentu</t>
  </si>
  <si>
    <t>Revisi peraturan daerah tentang pajak BPHTB</t>
  </si>
  <si>
    <t>Terpahaminya peraturan tentang pajak dan retribusi</t>
  </si>
  <si>
    <t>tersedianya aplikasi penunjang sismiop</t>
  </si>
  <si>
    <t xml:space="preserve">tersedianya data potensi PAD </t>
  </si>
  <si>
    <t>Tersedianya data pajak yang akurat</t>
  </si>
  <si>
    <t>Tersedianya data NJOP yang akurat</t>
  </si>
  <si>
    <t>Pemetaan Potensi Reklame</t>
  </si>
  <si>
    <t>Penyediaan barang cetakan dan pengadaan</t>
  </si>
  <si>
    <t>Rapat-rapat koordinasi dan konsultasi ke luar daerah</t>
  </si>
  <si>
    <t>Penunjang Operasional Perencanaan dan Pelaporan SKPD</t>
  </si>
  <si>
    <t>Tersusunnya Laporan Keuangan (Bulanan, Triwulan, Semester dan Tahunan)</t>
  </si>
  <si>
    <t>Terciptanya suasana kantor yang bersih dan nyaman</t>
  </si>
  <si>
    <t>Terpenuhinya Kebutuhan Alat Tulis Kantor dalam 12 Bulan</t>
  </si>
  <si>
    <t>Terpenuhinya Kebutuhan Barang Cetakan dan Penggandaan</t>
  </si>
  <si>
    <t>Terpenuhinya kebutuhan instalasi listrik/penerangan bangunan kantor</t>
  </si>
  <si>
    <t>Tersedianya Bahan Bacaan dan Buku Referensi Perundang-undangan</t>
  </si>
  <si>
    <t>Terpenuhinya makan-minum tamu dan piket</t>
  </si>
  <si>
    <t>Terlaksananya kegiatan rapat-rapat koordinasi dan konsultasi ke luar daerah</t>
  </si>
  <si>
    <t>Terlaksananya kegiatan rapat-rapat koordinasi dan konsultasi dalam daerah</t>
  </si>
  <si>
    <t>Tersusunnya Dokumen Perencanaan dan Pelaporan (Renja, Renstra, KUA PPAS, RKA, DPA, LAKIP, TAPKIN dan SAKIP)</t>
  </si>
  <si>
    <t>Program Pengembangan Data/Informasi</t>
  </si>
  <si>
    <t>Program Peningk.Pengemb.Pengelolaan Keuangan Daerah</t>
  </si>
  <si>
    <t>Intensifikasi dan Ekstensifikasi sumber-sumber pendapatan daerah</t>
  </si>
  <si>
    <t>Terdatanya seluruh objek pajak yang ada di Kabupaten Pesisir Selatan</t>
  </si>
  <si>
    <t>Rekonsiliasi Pendapatan Asli Daerah</t>
  </si>
  <si>
    <t>Diperolehnya data Pendapatan Asli Daerah dari Berbagai sumber  yang akurat dan terkini</t>
  </si>
  <si>
    <t>Penyusunan laporan PAD</t>
  </si>
  <si>
    <t>Tersusunnya Laporan Pendapatan Asli Daerah</t>
  </si>
  <si>
    <t>Monitoring dan Evaluasi PBB-P2</t>
  </si>
  <si>
    <t>Terlaksananya Monitoring PBB-P2</t>
  </si>
  <si>
    <t>Monitoring dan Evaluasi PAD</t>
  </si>
  <si>
    <t>Diperolehnya Data Objek Pajak PBB-P2 yang Akurat dan Terkini</t>
  </si>
  <si>
    <t>Cetak Massal dan pengadaan bahan-bahan Dokumen PBB-P2</t>
  </si>
  <si>
    <t>Tersedianya Blanko SKP PBB-P2</t>
  </si>
  <si>
    <t>Pengadaan barang kuasi</t>
  </si>
  <si>
    <t>Tersedianya Karcis Retribusi/tanda masuk/parkir</t>
  </si>
  <si>
    <t>Penunjang Sisitem E -PAD</t>
  </si>
  <si>
    <t>Tersedianya Operasional Sistem e-PAD</t>
  </si>
  <si>
    <t>Pelayanan peningkatan pemungutan pajak daerah wilayah I</t>
  </si>
  <si>
    <t>Terlaksananya Pelayanan dan Peningkatan Pemungutan Pajak Daerah Wilayah I</t>
  </si>
  <si>
    <t>Pelayanan peningkatan pemungutan pajak daerah wilayah II</t>
  </si>
  <si>
    <t>Terlaksananya Pelayanan dan Peningkatan Pemungutan Pajak Daerah Wilayah II</t>
  </si>
  <si>
    <t>Pelayanan peningkatan pemungutan pajak daerah wilayah III</t>
  </si>
  <si>
    <t>Terlaksananya Pelayanan dan Peningkatan Pemungutan Pajak Daerah Wilayah III</t>
  </si>
  <si>
    <t>Pendataan dan verifikasi nomor objek pajak PBB-P2</t>
  </si>
  <si>
    <t>Diperolehnya data capaian pajak PBB-P2</t>
  </si>
  <si>
    <t>Sosialisasi pajak daerah</t>
  </si>
  <si>
    <t>Terlaksananya Sosialisasi Pajak Daerah</t>
  </si>
  <si>
    <t>Penunjang SISMIOP</t>
  </si>
  <si>
    <t>Pemetaan Potensi Pendapatan Asli Daerah</t>
  </si>
  <si>
    <t>Verifikasi Penetapan Pajak Daerah</t>
  </si>
  <si>
    <t>Pemutakhiran Nilai Jual Objek Pajak (NJOP)</t>
  </si>
  <si>
    <t>PENDIDIKAN DAN PELATIHAN</t>
  </si>
  <si>
    <t>URUSAN PENDUKUNG</t>
  </si>
  <si>
    <t>SEKRETARIAT DAERAH</t>
  </si>
  <si>
    <t>SEKRETARIAT DPRD</t>
  </si>
  <si>
    <t>KECAMATAN KOTO XI TARUSAN</t>
  </si>
  <si>
    <t>KECAMATAN BAYANG UTARA</t>
  </si>
  <si>
    <t>KECAMATAN IV JURAI</t>
  </si>
  <si>
    <t>KECAMATAN BATANG KAPAS</t>
  </si>
  <si>
    <t>KECAMATAN SUTERA</t>
  </si>
  <si>
    <t>KECAMATAN LENGAYANG</t>
  </si>
  <si>
    <t>KECAMATAN</t>
  </si>
  <si>
    <t>KECAMATAN RANAH PESISIR</t>
  </si>
  <si>
    <t>KECAMATAN LINGGO SARI BAGANTI</t>
  </si>
  <si>
    <t>KECAMATAN AIRPURA</t>
  </si>
  <si>
    <t>KECAMATAN PANCUNG SOAL</t>
  </si>
  <si>
    <t>KECAMATAN BASA AMPEK BALAI TAPAN</t>
  </si>
  <si>
    <t>KECAMATAN IV NAGARI BAYANG</t>
  </si>
  <si>
    <t>KECAMATAN RANAH IV HULU TAPAN</t>
  </si>
  <si>
    <t>KECAMATAN LUNANG</t>
  </si>
  <si>
    <t>KECAMATAN SILAUT</t>
  </si>
  <si>
    <t>Meningkatkan Akuntabilitas Keuangan dan Kinerja Pemerintah Dearah</t>
  </si>
  <si>
    <t>Persentase pemenuhan layanan adminstrasi perkantoran</t>
  </si>
  <si>
    <t xml:space="preserve">Menurunkan Tingkat Pencemaran dan Perusakan Lingkungan Hidup </t>
  </si>
  <si>
    <t>Program Pengembangan Kinerja Pengelolaan Persampahan</t>
  </si>
  <si>
    <t>Meningkatkan Kualitas air, kualitas udara dan kualitas tanah di bawah baku mutu</t>
  </si>
  <si>
    <t>Dinas PU dan Penataan Ruang</t>
  </si>
  <si>
    <t>Bimbingan teknis persampahan</t>
  </si>
  <si>
    <t>Sosialisasi kebijakan pengelolaan persampahan</t>
  </si>
  <si>
    <t>Pembinaan Peran Serta Masyarakat Dalam Program Pengelolaan Bank Sampah dan 3R</t>
  </si>
  <si>
    <t>Terlaksananya Pembinaan Peran Serta Masyarakat Dalam Program Pengelolaan Bank Sampah dan 3R</t>
  </si>
  <si>
    <t>Sosialisasi Program Pengelolaan Bank Sampah dan 3R</t>
  </si>
  <si>
    <t>Pembangunan Pengelolaan Limbah Cair Permukiman Masyarakat (Ipal Komunal)</t>
  </si>
  <si>
    <t>Pembangunan Septik Tank dan MCK Komunal</t>
  </si>
  <si>
    <t>Penyusunan Laporan Periodik Volume Sampah</t>
  </si>
  <si>
    <t>Jumlah Kecamatan</t>
  </si>
  <si>
    <t>Sosialisasi pembinaan pemanfaatan air</t>
  </si>
  <si>
    <t xml:space="preserve"> Meningkatnya Kualitas Informasi dan Peran Serta Masyarakat dalam pengelolaan lingkungan hidup</t>
  </si>
  <si>
    <t>Program Pengendalian Pencemaran dan Perusakan Lingkungan Hidup</t>
  </si>
  <si>
    <t>Peningkatan Peluang Partisipasi dalam Pengelolaan Lingkungan</t>
  </si>
  <si>
    <t>Dinas Lingkungan Hidup</t>
  </si>
  <si>
    <t>Koordinasi Penilaian Kota Sehat/Adipura</t>
  </si>
  <si>
    <t>Jumlah Lokasi Titik Pantau dan Frekwensi Pemantauan</t>
  </si>
  <si>
    <t>13 ( 2 Kali )</t>
  </si>
  <si>
    <t>13 ( 1 Kali )</t>
  </si>
  <si>
    <t>Pemantauan Kualitas Lingkungan (DAK)</t>
  </si>
  <si>
    <t>Terpantaunya Kualitas Lingkungan</t>
  </si>
  <si>
    <t>Persentase Kualitas Lingkungan</t>
  </si>
  <si>
    <t>7 Paket</t>
  </si>
  <si>
    <t>Pengawasan pelaksanaan kebijakan bidang lingkungan hidup</t>
  </si>
  <si>
    <t>Jumlah Kegiatan Yang Diawasi</t>
  </si>
  <si>
    <t>10 Buku Pengawasan</t>
  </si>
  <si>
    <t>18 Perusahaan</t>
  </si>
  <si>
    <t>Pembuatan Standar Pelayanan Minimum (SPM) Lingkungan Hidup</t>
  </si>
  <si>
    <t>Jumlah Buku Standar Pelayanan Minimal ( SPM ) LH</t>
  </si>
  <si>
    <t>Peringatan Hari Lingkungan Hidup Sedunia di Kabupaten Pesisir Selatan</t>
  </si>
  <si>
    <t>Jumlah Peringatan Hari Lingkungan Hidup Yang Diaksanakan ( Kali )</t>
  </si>
  <si>
    <t>Memperingati</t>
  </si>
  <si>
    <t>Pemantauan Kualitas Lingkungan (Penunjang DAK)</t>
  </si>
  <si>
    <t>Pemantauan Kualitas Lingkungan</t>
  </si>
  <si>
    <t>Persentase kualitas lingkungan</t>
  </si>
  <si>
    <t>Penunjang Operasional Laboratorium</t>
  </si>
  <si>
    <t>Jumlah Opersional Laboratorium Yang Tersedia ( Bulan )</t>
  </si>
  <si>
    <t>Kelancaran labor</t>
  </si>
  <si>
    <t>Koordinasi Gerakan Sumatera Barat Bersih (GSB)</t>
  </si>
  <si>
    <t>Jumlah Kegiatan GSB Yang Dkordinasikan</t>
  </si>
  <si>
    <t>Kecamatan Bersih,Teduh dan Hijau</t>
  </si>
  <si>
    <t>Penilaian Kalpataru</t>
  </si>
  <si>
    <t>Terlaksananya Pembinaan kalpataru</t>
  </si>
  <si>
    <t>Pelaku Peduli Lingkungan</t>
  </si>
  <si>
    <t>1 Kelompok Masyarakat</t>
  </si>
  <si>
    <t>40</t>
  </si>
  <si>
    <t>Pengadaan Kit dan Accecoris Laboratorium</t>
  </si>
  <si>
    <t>44</t>
  </si>
  <si>
    <t>Pelaksanaan Program Penilaian Kinerja Usaha Tingkat Daerah (PROPERDA)</t>
  </si>
  <si>
    <t>Kajian penetapan pengendalian kerusakan tanah pada sumber dampak (degradasi lahan)</t>
  </si>
  <si>
    <t>Pengkajian penetapan daya dukung dan daya tampung lingkungan hidup kabupaten pesisir selatan</t>
  </si>
  <si>
    <t>53</t>
  </si>
  <si>
    <t>Sosialisasi produk lingkungan</t>
  </si>
  <si>
    <t>54</t>
  </si>
  <si>
    <t>Identifikasi sumber pencemar lingkungan berdasarkan sumber pencemar lingkungan</t>
  </si>
  <si>
    <t>55</t>
  </si>
  <si>
    <t>Penggadaan sarana pendukung pengendalian lingkungan</t>
  </si>
  <si>
    <t>56</t>
  </si>
  <si>
    <t>Pelatihan Fungsional PPLHD</t>
  </si>
  <si>
    <t>Pembinaan Pelaksanaan PROKLIM dan KALPATARU</t>
  </si>
  <si>
    <t>Jumlah Calon Yang Masuk Seleksi Nasional</t>
  </si>
  <si>
    <t xml:space="preserve">Kampung Iklim </t>
  </si>
  <si>
    <t xml:space="preserve">Calon Penerima Kalpataru </t>
  </si>
  <si>
    <t>Sekolah Berbudaya dan Berwawasan Lingkungan ( ADIWIYATA )</t>
  </si>
  <si>
    <t>Jumlah Sekolah Adiwiyata yang juara</t>
  </si>
  <si>
    <t>Tingkat Mandiri</t>
  </si>
  <si>
    <t>Tingkat Nasional</t>
  </si>
  <si>
    <t>Tingkat Provinsi</t>
  </si>
  <si>
    <t>Tingkat Kabupaten</t>
  </si>
  <si>
    <t>Program Peningkatan Kualitas dan akses Informasi SDA dan Lingkungan</t>
  </si>
  <si>
    <t>Peningkatan Kualitas Dokumen Lingkungan</t>
  </si>
  <si>
    <t>Pembuatan Buku Laporan Status Lingkungan Hidup Daerah (SLHD)</t>
  </si>
  <si>
    <t>Jumlah Buku Laporan SLHD</t>
  </si>
  <si>
    <t>Sosialisasi Pemahaman Pengelolaan Lingkungan Hidup Bagi SKPD se Kabupaten Pesisir Selatan</t>
  </si>
  <si>
    <t>Pembahasan Dokumen AMDAL dan UKL-UPL</t>
  </si>
  <si>
    <t>Jumlah Dokumen  Lingkungan Hidup</t>
  </si>
  <si>
    <t>UKL/UPL</t>
  </si>
  <si>
    <t>SPPL</t>
  </si>
  <si>
    <t>Pembinaan, Pelaksanaan dan Implementasi AMDAL-UKL-UPL dan SPPL</t>
  </si>
  <si>
    <t>Tindak Lanjut Pengaduan Masyarakat di Bidang Lingkungan Hidup</t>
  </si>
  <si>
    <t>Jumlah Pengaduan Masyarakat dibidang LH yang ditindak lanjuti ( kasus )</t>
  </si>
  <si>
    <t>Pembinaan Sekolah Berbudaya dan Berwawasan Lingkungan (Adiwiyata)</t>
  </si>
  <si>
    <t>Sosialisasi Adiwiyata</t>
  </si>
  <si>
    <t>terlaksananya sosialisasi dan binaan ke sekolah</t>
  </si>
  <si>
    <t>Sosialisasi terhadap pemilik kegiatan tentang kewajiban penyusunan laporan semester 1 x 6 bulan</t>
  </si>
  <si>
    <t>Peningkatan pemahaman masyarakat terhadap dampak yang timbulkan oleh suatu kegiatan</t>
  </si>
  <si>
    <t>Penguatan Komisi AMDAL Kab.Pessel dengan Lisensi</t>
  </si>
  <si>
    <t>36</t>
  </si>
  <si>
    <t>Pembinaan dan Pelaksanaan Adaptasi dan Mitigasi Perubahan Iklim (Pembinaan Pelaksanaan PROIKLIM &amp; KALPATARU)</t>
  </si>
  <si>
    <t>Terbinanya dan terlaksananya adaptasi dan mitigasi perubahan iklim</t>
  </si>
  <si>
    <t>Pengelolaan tutupan vegetasi</t>
  </si>
  <si>
    <t>37</t>
  </si>
  <si>
    <t>Penyusunan RPPLH Kabupaten Pesisir Selatan</t>
  </si>
  <si>
    <t>Jumlah Dokumen RPPLH Yang Disusun</t>
  </si>
  <si>
    <t>dokumen</t>
  </si>
  <si>
    <t>Penyusunan Dokumen KLHS</t>
  </si>
  <si>
    <t>3.73%</t>
  </si>
  <si>
    <t>Sosialisasi penyelesaian permasalahan lingkungan</t>
  </si>
  <si>
    <t>41</t>
  </si>
  <si>
    <t>Sosialisasi izin penyimpanan sementara limbah B3 dan  izin pembuangan limbah cair (IPLC) ke Media Lingkungan</t>
  </si>
  <si>
    <t>Penyusunan Dokumen SPPL UMKM</t>
  </si>
  <si>
    <t>Sosialisasi pengelolaan lingkungan industri</t>
  </si>
  <si>
    <t>Peningkatan kompetensi tenaga teknis dalam peningkatan kapasitas lingkungan</t>
  </si>
  <si>
    <t>Sosialisasi CSR ke Perusahaan</t>
  </si>
  <si>
    <t>Peningkatan pemahaman pemilik kegiatan terhadap izin PPLH</t>
  </si>
  <si>
    <t>Pembangunan pos pengaduan lingkungan hidup</t>
  </si>
  <si>
    <t>49</t>
  </si>
  <si>
    <t>Inventarisasi Kegiatan yang belum memiliki izin lingkungan</t>
  </si>
  <si>
    <t>Jumlah Kegiatan Yang Belum Memiliki Izin Lingkungan Yang Terinventarisir</t>
  </si>
  <si>
    <t>data kegiatan yang memiliki izin lingkungan</t>
  </si>
  <si>
    <t>Sosialisasi Penegakan Hukum Lingkungan</t>
  </si>
  <si>
    <t>Adanya sosialisasi penegakan hukum lingkungan</t>
  </si>
  <si>
    <t>tersosialisasi penegakan hukum lingkungan</t>
  </si>
  <si>
    <t>Jumlah Dokumen KLHS Yang Disusun</t>
  </si>
  <si>
    <t>Program Peningkatan Pengendalian Polusi</t>
  </si>
  <si>
    <t>Pemantauan Kualitas Media Skala Kabupaten</t>
  </si>
  <si>
    <t>Jumlah Sungai Yang Terpantau</t>
  </si>
  <si>
    <t>Kondisi kualitas air sungai, embung dan tanah</t>
  </si>
  <si>
    <t>Pemantauan Kualitas Udara Emisi</t>
  </si>
  <si>
    <t>Evaluasi Kualitas Udara Kota Painan</t>
  </si>
  <si>
    <t>Inventarisasi Lahan Akses Terbuka</t>
  </si>
  <si>
    <t>Meningkatnya Kualitas Pemanfaatan Sumber Daya Alam</t>
  </si>
  <si>
    <t>Program Pelestarian Keanekaragaman Hayati Daerah Kab. Pessel</t>
  </si>
  <si>
    <t>Meningkatkan Luasan Tutupan Lahan Terbuka</t>
  </si>
  <si>
    <t>Penanaman Pohon  Pelindung Sepanjang Jalan Raya Keanekaragaman dengan Tanaman Khas Daerah/Nagari</t>
  </si>
  <si>
    <t>Penetapan Ikon Flora/Fauna Kab. Pessel</t>
  </si>
  <si>
    <t>Disaian Pembangunan Taman KEHATI Kab. Pessel</t>
  </si>
  <si>
    <t>Pembangunan Taman Keanekaragaman Hayati Kab. Pessel</t>
  </si>
  <si>
    <t>Penyusunan profil keanekaragaman hayati</t>
  </si>
  <si>
    <t>Jumlah Dokumen KEHATI</t>
  </si>
  <si>
    <t>Program Perlindungan dan Konservasi Sumber Daya Alam</t>
  </si>
  <si>
    <t>pencegahan dan recovery erosi di Sempadan Sungai dengan penanaman</t>
  </si>
  <si>
    <t>inventarisasi data pelestarian kawasan pesisir laut</t>
  </si>
  <si>
    <t>pembangunan bank bibit tanaman</t>
  </si>
  <si>
    <t>gerakan lingkungan kawasan wisata bersih</t>
  </si>
  <si>
    <t>pencegahan dan recovery abrasi di Sempadan pantai dan penanaman</t>
  </si>
  <si>
    <t>Program Pengelolaan Ruang terbuka Hijau (RTH)</t>
  </si>
  <si>
    <t xml:space="preserve">Peningkatan peran serta Masyarakat dalam pengelolaan Ruang terbuka hijau </t>
  </si>
  <si>
    <t>Program penataan Administrasi Kependudukan</t>
  </si>
  <si>
    <t>Peningkatan pelayanan publik dalam bidang kependudukan</t>
  </si>
  <si>
    <t>pelayanan E- KTP</t>
  </si>
  <si>
    <t>Program pelayanan administrasi perkantoran</t>
  </si>
  <si>
    <t>Lancarnya Pelayanan Adminisitrasi Perkantoran</t>
  </si>
  <si>
    <t>Jumlah jasa komunikasi, sumber daya air dan listrik yang tersedia ( Bulan )</t>
  </si>
  <si>
    <t>Jumlah jasa administrasi keuangan yang tersedia( Bulan )</t>
  </si>
  <si>
    <t>Jumlah jasa kebersihan kantor yang tersedia ( Bulan )</t>
  </si>
  <si>
    <t>Penyediaan jasa perbaikan peralatan kerja yang tersedia ( Bulan )</t>
  </si>
  <si>
    <t>Jumlah ketersediaan Alat Tulis Kantor</t>
  </si>
  <si>
    <t>Jumlah barang cetakan dan Penggandaan yang tersedia ( Bulan )</t>
  </si>
  <si>
    <t>Penyusunan Rencana Strategis SKPD</t>
  </si>
  <si>
    <t>Jumlah Dokumen Revisi Renstra Yang Dihasilkan</t>
  </si>
  <si>
    <t>Jumlah Ketersediaan komponen instalasi listrik/penerangan bangunan kantor ( Bulan )</t>
  </si>
  <si>
    <t>Jumlah Ketersediaan bahan bacaan dan peraturan perundang-undangan ( Bulan )</t>
  </si>
  <si>
    <t>Jumlah Ketersediaan Makanan dan Minuman</t>
  </si>
  <si>
    <t>Jumlah Rapat Koordinasi dan Konsultasi Luar Daerah Yang Dihasiri</t>
  </si>
  <si>
    <t>Jumlah Rapat Koordinasi dan Konsultasi Luar Dalam Yang Dihadiri</t>
  </si>
  <si>
    <t>Jenis Laporan Yang Disampaikan</t>
  </si>
  <si>
    <t>Laporan APBD-P ( Dokumen )</t>
  </si>
  <si>
    <t>RAPBD 2019 ( Dokumen )</t>
  </si>
  <si>
    <t>Laporan Bulanan</t>
  </si>
  <si>
    <t>Laporan Triwulan</t>
  </si>
  <si>
    <t>Laporan Lainnya ( Paket )</t>
  </si>
  <si>
    <t>Meningkatnya Sarana dan prasarana Aparatur</t>
  </si>
  <si>
    <t>Pengadaan kendaraan dinas/operasional</t>
  </si>
  <si>
    <t>Jumlah Kendaraan Dinas / Operasional Yang Dipelihara</t>
  </si>
  <si>
    <t>Mobil ( Unit )</t>
  </si>
  <si>
    <t>Sepeda Motor ( Unit</t>
  </si>
  <si>
    <t>Pengadaan perlengkapan gedung kantor</t>
  </si>
  <si>
    <t>Jumlah Perlengkapan gedung kantor</t>
  </si>
  <si>
    <t>AC ( Unit )</t>
  </si>
  <si>
    <t>Komputer PC ( Unit )</t>
  </si>
  <si>
    <t>Infokus ( Unit )</t>
  </si>
  <si>
    <t>Printer ( Unit )</t>
  </si>
  <si>
    <t>Pengadaan meubiler</t>
  </si>
  <si>
    <t>Pemeliharaan rutin/berkala kendaraan dinas/operasional</t>
  </si>
  <si>
    <t>Adanya Pemeliharaan Rutin/berkala kendaraan dinas/operasional</t>
  </si>
  <si>
    <t>Rehabilitasi sedang/berat gedung kantor</t>
  </si>
  <si>
    <t>Luas Gedung Kantor Yang Direhab</t>
  </si>
  <si>
    <t>Gedung ( M2 )</t>
  </si>
  <si>
    <t>Halaman ( M2 )</t>
  </si>
  <si>
    <t>Program Peningkatan Kapasitas Sumber Daya Aparatur</t>
  </si>
  <si>
    <t>Meningkatnya Kapasitas Sumberdaya Aparatur</t>
  </si>
  <si>
    <t>Pendidikan dan Pelatihan Formal</t>
  </si>
  <si>
    <t>Meningkatnya Sumber Daya Aparatur</t>
  </si>
  <si>
    <t>Program Peningkatan Pengembangan Sistem Pelaporan Capaian Kinerja dan Keuangan</t>
  </si>
  <si>
    <t>Berkembanya Sistem Pelaporan Capaian Kinerja dan Keuangan</t>
  </si>
  <si>
    <t>Penyusunan laporan capaian kinerja dan ikhtisar realisasi kinerja SKPD</t>
  </si>
  <si>
    <t>Laporan LAKIP, LKPj, Tapkin, LPPD, Laporan lainnya ( Paket )</t>
  </si>
  <si>
    <t>Predikat kinerja</t>
  </si>
  <si>
    <t>Sangat Rendah</t>
  </si>
  <si>
    <t>BKPSDM</t>
  </si>
  <si>
    <t>Meningkatkan pelayanan kepegawaian</t>
  </si>
  <si>
    <t>Pengelolaan Sistem Informasi Manajemen Kepegawaian (SIMPEG)</t>
  </si>
  <si>
    <t>Jumlah data PNS yang dientry dalam jaringan database (data)</t>
  </si>
  <si>
    <t>Pengelolaan Administrasi Kepangkatan dan Pemakaian Gelar Pegawai</t>
  </si>
  <si>
    <t>Jumlah berkas PNS yang diproses untuk usulan kenaikan pangkat dan pemakaian gelar (berkas)</t>
  </si>
  <si>
    <t>Pengelolaan Administrasi Pensiun Pegawai</t>
  </si>
  <si>
    <t>Jumlah berkas PNS yang diproses untuk usulan BUP, janda/duda, APS dan MPP (berkas)</t>
  </si>
  <si>
    <t>Pembekalan ASN yang memasuki purnabakti</t>
  </si>
  <si>
    <t>Jumlah PNS yang mengikuti pembekalan sebelum pensiun (orang)</t>
  </si>
  <si>
    <t>Pengelolaan administrasi karpeg, karis/karsu dan taspen</t>
  </si>
  <si>
    <t>Jumlah berkas PNS yang diprose usulan karpeg, karis/karsu dan taspen (berkas)</t>
  </si>
  <si>
    <t>Pelaksanaan Pengkoreksian Angka Kredit</t>
  </si>
  <si>
    <t>Jumlah berkas PNS yang diproses untuk usulan pengkoreksian angka kredit bagi jabatan fungsional (berkas)</t>
  </si>
  <si>
    <t>Program Pembinaan dan Pengembangan Aparatur</t>
  </si>
  <si>
    <t>Meningkatnya sistem karir PNS</t>
  </si>
  <si>
    <t>Seleksi Penerimaan Calon PNS</t>
  </si>
  <si>
    <t>Jumlah Pelamar yang Mengikuti Seleksi dan Diterima Menjadi PNS (orang)</t>
  </si>
  <si>
    <t>Pemberian Bantuan Tugas Belajar dan Ikatan Dinas</t>
  </si>
  <si>
    <t>Jumlah PNS yang Mendapatkan Bantuan Tugas Belajar dan Ikatan Dinas (orang)</t>
  </si>
  <si>
    <t>Penyelenggaraan Badan Pertimbangan Jabatan dan Kepangkatan</t>
  </si>
  <si>
    <t>Jumlah sidang yang dilakukan oleh Tim Badan Pertimbangan Jabatan dan Kepangkatan (kali)</t>
  </si>
  <si>
    <t>Pengambilan Sumpah PNS dan Pelantikan Jabatan</t>
  </si>
  <si>
    <t>Jumlah diadakan acara Pengambilan Sumpah dan Pelantikan Jabatan (kali)</t>
  </si>
  <si>
    <t>Seleksi Jabatan Pimpinan Tinggi</t>
  </si>
  <si>
    <t>Jumlah Peserta Seleksi Jabatan Pimpinan Tinggi (orang)</t>
  </si>
  <si>
    <t>Penyelenggaraan Majelis Pertimbangan Pegawai</t>
  </si>
  <si>
    <t>Jumlah sidang yang dilakukan oleh Tim Majelis Pertimbangan Pegawai (kali)</t>
  </si>
  <si>
    <t>Pemberian Satyalencana Karya Satya X, XX, dan XXX Tahun</t>
  </si>
  <si>
    <t>Jumlah berkas PNS yang diusulkan untuk menerima Satya lencana karya satya X, XX, dan XXX Tahun (berkas)</t>
  </si>
  <si>
    <t>Penyusunan Formasi PNS</t>
  </si>
  <si>
    <t>Tercapainya Penyusunan Formasi PNS (orang)</t>
  </si>
  <si>
    <t>Pengelolaan administrasi mutasi pegawai</t>
  </si>
  <si>
    <t>Jumlah PNS yang melakukan Mutasi Pindah dan Mutasi Jabatan fungsional (orang)</t>
  </si>
  <si>
    <t>Pemeriksaan Kasus PNS dan Masalah Perceraian</t>
  </si>
  <si>
    <t>Jumlah PNS yang melanggar disiplin dan masalah perceraian yang diberikan rekomendasi (orang)</t>
  </si>
  <si>
    <t>Pemetaan Potensi Pejabat Struktural</t>
  </si>
  <si>
    <t>Jumlah peserta yang mengikuti pemetaan potensi pejabat struktural (orang)</t>
  </si>
  <si>
    <t>Program Pendidikan Kedinasan</t>
  </si>
  <si>
    <t>Peningkatan keterampilan dan profesionalisme</t>
  </si>
  <si>
    <t>Jumlah PNS yang Mengikuti Pendidikan Pim II dan Pim III (orang)</t>
  </si>
  <si>
    <t>Diklat Kepemimpinan Tk. IV</t>
  </si>
  <si>
    <t>Jumlah Pegawai ASN yang mengikuti Diklat PIM Tk. IV (orang)</t>
  </si>
  <si>
    <t>Diklat Prajabatan bagi Calon PNS</t>
  </si>
  <si>
    <t>Jumlah Peserta yang Mengikuti Diklat Prajabatan (orang)</t>
  </si>
  <si>
    <t>Diklat Pengelolaan Keuangan Daerah</t>
  </si>
  <si>
    <t>Jumlah Pegawai ASN yang mengikuti Diklat Pengelolaan Keuangan Daerah (orang)</t>
  </si>
  <si>
    <t>Diklat Teknnis Manajemen Kinerja ASN</t>
  </si>
  <si>
    <t>Jumlah peserta yang mengikuti Bimtek manajemen kinerja ASN (orang)</t>
  </si>
  <si>
    <t>Pelaksanaan Achivment Motivation Training</t>
  </si>
  <si>
    <t>Jumlah Pegawai ASN yang mengikuti Achivment Motivation Training (orang)</t>
  </si>
  <si>
    <t>Penyediaan Jasa Komunikasi, Sumber Daya, Air dan Listrik</t>
  </si>
  <si>
    <t>Tersedianya jasa telpon, sumber daya air dan listrik (%)</t>
  </si>
  <si>
    <t>Penyediaan Jasa Peralatan dan Perlengkapan Kantor</t>
  </si>
  <si>
    <t>Tersedianya jasaperalatan dan perlengkapan kantor (%)</t>
  </si>
  <si>
    <t>Penyediaan Jasa Administrasi Keuangan</t>
  </si>
  <si>
    <t>Tersedianya pembayaran/honorarium tenaga administrasi keuangan BKPSDM  (%)</t>
  </si>
  <si>
    <t>Tersedianya petugas kebersihan kantor (%)</t>
  </si>
  <si>
    <t>Tersedianya alat tulis kantor untuk operasional BKPSDM (%)</t>
  </si>
  <si>
    <t>Tersedianya barang cetakan dan penggadaan pada BKPSDM (%)</t>
  </si>
  <si>
    <t>Tersedianya komponen instalasi listrik bangunan kantor BKPSDM  (%)</t>
  </si>
  <si>
    <t>Penyediaan Bahan Bacaan dan Peraturan Perundang-Undangan</t>
  </si>
  <si>
    <t>Tersedianya bahan bacaan (koran) dan peraturan perundang-undangan  (%)</t>
  </si>
  <si>
    <t>Tersedianya makanan dan minuman pada BKPSDM  (%)</t>
  </si>
  <si>
    <t>Terwujudnya koordinasi dan konsultasi ke luar daerah dengan instansi terkait (%)</t>
  </si>
  <si>
    <t>Terwujudnya koordinasi dan konsultasi kedalam daerah dengan instansi terkait (%)</t>
  </si>
  <si>
    <t>Tersampaikannya informasi pembangunan (Festival Langkisau, Pawai Legoris, Acara HUT RI)  (%)</t>
  </si>
  <si>
    <t>Jumlah Pengadaan Perlengkapan Gedung Kantor (jenis)</t>
  </si>
  <si>
    <t>Jumlah Pengadaan Peralatan Gedung Kantor (unit)</t>
  </si>
  <si>
    <t>Pemeliharaan rutin/berkala Gedung Kantor</t>
  </si>
  <si>
    <t>Terpeliharanya secara rutin/berkala Gedung Kantor (jenis)</t>
  </si>
  <si>
    <t>Pemeliharan Rutin/ Berkala Kendaraan Dinas/Operasional</t>
  </si>
  <si>
    <t>Jumlah kendaraan dinas/operasional yang dipelihara secara rutin/berkala (%)</t>
  </si>
  <si>
    <t>Pemeliharaan Rutin/Berkala Peralatan Gedung Kantor</t>
  </si>
  <si>
    <t>Jumlah peralatan gedung kantor yang dipelihara secara rutin/berkala (unit)</t>
  </si>
  <si>
    <t>Tersusunnya dokumen laporan akuntabilitas kinerja BKPSDM (laporan)</t>
  </si>
  <si>
    <t>Meningkatkan produksi pertanian</t>
  </si>
  <si>
    <t>Program Peningkatan Penerapan Teknologi Pertanian/ Perkebunan</t>
  </si>
  <si>
    <t>Jumlah kelompok tani pemanfaat alsintan (kelompok)</t>
  </si>
  <si>
    <t>Dinas Tanaman Pangan Hortikultura dan Perkebunan Kab. Pesisir Selatan</t>
  </si>
  <si>
    <t>Jumlah kelompok tani yang menggunakan teknologi tepat guna (kelompok)</t>
  </si>
  <si>
    <t>Pengadaan sarana dan prasarana teknologi pertanian/perkebunan tepat guna</t>
  </si>
  <si>
    <t>Jumlah alat dan mesin pertanian (unit)</t>
  </si>
  <si>
    <t>Pemeliharaan rutin berkala sarana dan prasarana teknologi pertanian/perkebunan tepat guna</t>
  </si>
  <si>
    <t>Jumlah alat dan mesin pertanian bribage tanam yang dipelihara (unit)</t>
  </si>
  <si>
    <t>Pelatihan dan Bimbingan Pengoperasian Teknologi Pertanian/Perkebunan Tepat Guna</t>
  </si>
  <si>
    <t>Jumlah petani yang dilatih menjadi operator alsintan (orang)</t>
  </si>
  <si>
    <t>Pengembangan Teknologi Budidaya Padi SRI</t>
  </si>
  <si>
    <t>Jumlah petani yang mengikuti sosialisasi dan pembinaan budidaya padi SRI (orang)</t>
  </si>
  <si>
    <t>Program Peningkatan Produksi Pertanian/ Perkebunan</t>
  </si>
  <si>
    <t>Jumlah Produksi Padi (Ton)</t>
  </si>
  <si>
    <t>Jumlah Produksi jagung (Ton)</t>
  </si>
  <si>
    <t>Jumlah Produksi Cabe (Ton)</t>
  </si>
  <si>
    <t>Jumlah produksi bawang merah (Ton)</t>
  </si>
  <si>
    <t>Jumlah produksi Buah-buahan (Ton)</t>
  </si>
  <si>
    <t>Jumlah Produksi Kelapa Sawit (Ton)</t>
  </si>
  <si>
    <t>Jumlah Produksi Karet (Ton)</t>
  </si>
  <si>
    <t>Jumlah Produksi gambir (Ton)</t>
  </si>
  <si>
    <t>Jumlah Produksi Pala (Ton)</t>
  </si>
  <si>
    <t>Jumlah Produksi kakao (Ton)</t>
  </si>
  <si>
    <t>Jumlah Produksi Kopi (Ton)</t>
  </si>
  <si>
    <t>Jumlah Produksi Cengkeh (Ton)</t>
  </si>
  <si>
    <t>Pengembangan Bibit Unggul Perkebunan</t>
  </si>
  <si>
    <t>Tersedianya bibit unggul tanaman Perkebunan (batang)</t>
  </si>
  <si>
    <t>Pembenahan dan Pengolahan Data Statistik Pertanian</t>
  </si>
  <si>
    <t>Jumlah buku statistik pertanian (buku)</t>
  </si>
  <si>
    <t>Pengendalian Hama Penyakit/OPT</t>
  </si>
  <si>
    <t>Jumlah pengamatan dan pengendalian OPT</t>
  </si>
  <si>
    <t>Pengembangan Bibit Unggul Pertanian</t>
  </si>
  <si>
    <t>Jumlah pertemuan kelompok penangkar (kali)</t>
  </si>
  <si>
    <t>Pengembangan Tanaman Hortikultura</t>
  </si>
  <si>
    <t>Jumlah petani yang mengikuti pelatihan penangkar tanaman hortikultura (orang)</t>
  </si>
  <si>
    <t>Pengujian Mutu Pupuk dan Pestisida</t>
  </si>
  <si>
    <t>Jumlah sampel pupuk dan pestisida yang diuji (sampel)</t>
  </si>
  <si>
    <t>Penyusunan Data Base Lahan Pertanian Pangan Berkelanjutan (LP2B)</t>
  </si>
  <si>
    <t>Jumlah peta LP2B (peta)</t>
  </si>
  <si>
    <t>Sekolah Lapang Budidaya Kakao</t>
  </si>
  <si>
    <t>Jumlah petani yang mengikuti sekolah lapang (orang)</t>
  </si>
  <si>
    <t>Pelatihan Teknis Budidaya Tanaman Karet</t>
  </si>
  <si>
    <t>Jumlah petani yang mengikuti pelatihan teknis budidaya tanaman karet (orang)</t>
  </si>
  <si>
    <t>Pengendalian Hama Perkebunan</t>
  </si>
  <si>
    <t>Jumlah gerakan pengendalian hama perkebunan (gerakan)</t>
  </si>
  <si>
    <t>Pembinaan dan Pengembangan Tanaman Perkebunan</t>
  </si>
  <si>
    <t>Jumlah kelompok penangkar yang dibina (kelompok)</t>
  </si>
  <si>
    <t>Penunjang Kegiatan Provinsi dan Pusat Bidang Tanaman Pangan Hortikultura Perkebunan</t>
  </si>
  <si>
    <t>Terfasilitasinya kegiatan pusat dan provinsi yang ada di daerah (bulan)</t>
  </si>
  <si>
    <t>LOAN IPDMIP</t>
  </si>
  <si>
    <t>Jumlah petani yang mengikuti SL Budidaya Padi (orang)</t>
  </si>
  <si>
    <t>Pemberdayaan Penyuluh Pertanian Lapangan</t>
  </si>
  <si>
    <t>Rasio Penyuluh Terhadap Kelompok Tani</t>
  </si>
  <si>
    <t>Jumlah Penyuluh Berprestasi (orang)</t>
  </si>
  <si>
    <t>Peningkatan Kapasitas Tenaga Penyuluh Pertanian/Perkebunan</t>
  </si>
  <si>
    <t>Jumlah PPL yang difasilitasi operasional (orang)</t>
  </si>
  <si>
    <t>Penyusunan Programa Penyuluh Pertanian/Perkebunan</t>
  </si>
  <si>
    <t>Jumlah programa penyuluhan yang dihasilkan (dokumen)</t>
  </si>
  <si>
    <t>Program Peningkatan Kelembagaan Petani</t>
  </si>
  <si>
    <t>Jumlah Gapoktan Berprestasi (gapoktan)</t>
  </si>
  <si>
    <t>Jumlah Kelompok Tani Berprestasi (kelompok)</t>
  </si>
  <si>
    <t>Jumlah Petani Berprestasi (orang)</t>
  </si>
  <si>
    <t>Peningkatan Kemampuan Kelembagaan  Petani (LKMA)</t>
  </si>
  <si>
    <t>Jumlah LKMA yang dibina</t>
  </si>
  <si>
    <t>Fasilitasi Pembentukan Kelompok Tani Berbadan Hukum</t>
  </si>
  <si>
    <t>Jumlah kelompok tani yang berbadan hukum (kelompok)</t>
  </si>
  <si>
    <t>Fasilitasi Asuransi Usaha Tanaman Padi</t>
  </si>
  <si>
    <t>Luas lahan usaha tani yang difasilitasi (ha)</t>
  </si>
  <si>
    <t>Meningkatkan nilai tambah hasil pertanian</t>
  </si>
  <si>
    <t>Program Peningkatan Nilai Tambah, Daya Saing, Industri Hilir, Pemasaran dan Ekspor Hasil Pertanian</t>
  </si>
  <si>
    <t>Jumlah Diversifikasi Hasil Olahan Tanaman Pangan (jenis)</t>
  </si>
  <si>
    <t>Jumlah Diversifikasi Hasil Olahan Tanaman Hortikultura (jenis)</t>
  </si>
  <si>
    <t>Jumlah Diversifikasi Hasil Olahan Tanaman Perkebunan (jenis)</t>
  </si>
  <si>
    <t>Peningkatan Nilai Tambah dan Penekanan Susut Hasil Komoditi Tanaman Pangan</t>
  </si>
  <si>
    <t>Terlaksananya revitalisasi RMU</t>
  </si>
  <si>
    <t>Pengembangan Pasca Panen Komoditi Tanaman Perkebunan</t>
  </si>
  <si>
    <t xml:space="preserve">Terlaksananya pelatihan pengolahan hasil karet, gambir, dan kelapa </t>
  </si>
  <si>
    <t>Peningkatan Kelompok Pengolahan Hasil Tanaman Hortikultura</t>
  </si>
  <si>
    <t>Tersedianya sarana pengolahan hasil tanaman hortikultura</t>
  </si>
  <si>
    <t>Promosi Atas Hasil Produksi Pertanian Unggulan Daerah</t>
  </si>
  <si>
    <t>Jumlah kegiatan promosi yang diikuti (kegiatan)</t>
  </si>
  <si>
    <t>Penumbuhan Agrowisata</t>
  </si>
  <si>
    <t>Jumlah peserta yang mengikuti pelatihan budidaya sehat tanaman jeruk pada lokasi agrowisata (orang)</t>
  </si>
  <si>
    <t>Pengembangan Jaringan Pemasaran Produksi Perkebunan</t>
  </si>
  <si>
    <t>Rapat - rapat koordinasi dan asosiasi bidang perkebunan yang dilaksanakan (bulan)</t>
  </si>
  <si>
    <t>Penilaian Uji Mutu Hasil Usaha Tanaman Perkebunan</t>
  </si>
  <si>
    <t>Dokumen hasil uji rendemen tanaman perkebunan (dokumen)</t>
  </si>
  <si>
    <t>Program Penyediaan dan Pengembangan Sarana dan Prasarana Pertanian/ Perkebunan</t>
  </si>
  <si>
    <t>Meningkatnya sarana dan prasarana pertanian/perkebunan yang memadai (%)</t>
  </si>
  <si>
    <t>Pengembangan Prasarana dan sarana pertanian (penunjang satker 08)</t>
  </si>
  <si>
    <t>Terfasilitasinya kegiatan pusat (satker 08) (kegiatan)</t>
  </si>
  <si>
    <t>Pembangunan/Rehabilitasi Infrastruktur Pertanian</t>
  </si>
  <si>
    <t>Panjang Jalan Produksi/ Jalan Usaha Tani yang dibangun/ direhabilitasi (paket)</t>
  </si>
  <si>
    <t>DAK Bidang Pertanian dan Pendamping</t>
  </si>
  <si>
    <t>Jumlah embung/ dam parit saluran yang dibangun/ direhabilitasi (unit)</t>
  </si>
  <si>
    <t>Penunjang DAK Bidang Pertanian</t>
  </si>
  <si>
    <t>Lancarnya pelaksanaan kegiatan DAK Bidang Pertanian (kegiatan)</t>
  </si>
  <si>
    <t>Tercapainya pelayanan administrasi yang prima (%)</t>
  </si>
  <si>
    <t>Tersedianya jasa komunikasi, sumber daya air dan listrik (bulan)</t>
  </si>
  <si>
    <t>Tersedianya layanan jasa administrasi keuangan perkantoran (bulan)</t>
  </si>
  <si>
    <t>Tersedianya layanan jasa kebersihan kantor/ cleaning service (bulan)</t>
  </si>
  <si>
    <t>Penyediaan Jasa Perbaikan Peralatan Kerja</t>
  </si>
  <si>
    <t>Terpeliharanya peralatan kerja dinas (bulan)</t>
  </si>
  <si>
    <t>Tersedianya ATK dinas dan UPTD/ BPK (bulan)</t>
  </si>
  <si>
    <t>Tersedianya cetakan dan penggandaan dinas (bulan)</t>
  </si>
  <si>
    <t>Tersedianya komponen listrik kantor (bulan)</t>
  </si>
  <si>
    <t>Teredianya bahan bacaan dan perundang - undangan (bulan)</t>
  </si>
  <si>
    <t>Tersedianya makan minum rapat dinas dan tamu dinas (bulan)</t>
  </si>
  <si>
    <t>Lancarnya koordinasi dan konsultasi dengan lembaga di luar daerah (bulan)</t>
  </si>
  <si>
    <t>Lancarnya koordinasi dan konsultasi dengan lembaga di dalam daerah (bulan)</t>
  </si>
  <si>
    <t>Program Peningkatan Prasarana dan Sarana Aparatur</t>
  </si>
  <si>
    <t>Meningkatnya sarana dan prasarana kantor yang representatif (%)</t>
  </si>
  <si>
    <t>Pengadaan Kendaraan Dinas/Operasional</t>
  </si>
  <si>
    <t>Tersedianya kendaraan roda dua dinas (unit)</t>
  </si>
  <si>
    <t>Tersedianya mebeleur yang representatif (unit)</t>
  </si>
  <si>
    <t>Terpeliharanya gedung kantor (paket)</t>
  </si>
  <si>
    <t>Terpeliharanya kendaraan dinas roda empat dan roda dua (unit)</t>
  </si>
  <si>
    <t>Tersedianya peralatan dan perlengkapan kantor yang representati (paket)</t>
  </si>
  <si>
    <t xml:space="preserve">Rata-Rata Capaian Kinerja (%) : </t>
  </si>
  <si>
    <t xml:space="preserve">Rata-rata capaian kinerja </t>
  </si>
  <si>
    <t>Predikat Kinerja : Baik</t>
  </si>
  <si>
    <t>Faktor Pendorong Keberhasilan Kinerja : Kendaraan Operasional, Peralatan dan Perlengkapan Kantor yang memadai</t>
  </si>
  <si>
    <t>Faktor Penghambat Pencapaian Kinerja : Pergeseran Anggaran dan Perubahan Juknis DAK</t>
  </si>
  <si>
    <t>Tindak Lanjut yang Diperlukan Dalam Triwulan Berikutnya : Percepatan Pelaksanaan Kegiatan agar target tercapai</t>
  </si>
  <si>
    <t>Tindak Lanjut yang Diperlukan Dalam RKPD Berikutnya : Evaluasi Pelaksanaan Program/Kegiatan Thaun Berjalan</t>
  </si>
  <si>
    <t>I N S P E K T O R A T</t>
  </si>
  <si>
    <t>Jumlah Tagihan Rekening listrik, telepon dan air</t>
  </si>
  <si>
    <t>Jumlah biaya honorarium pengelola keuangan</t>
  </si>
  <si>
    <t>Jumlah sarana Kebersihan</t>
  </si>
  <si>
    <t>Penyediaan jasa perbaikan perlatan kerja</t>
  </si>
  <si>
    <t>Jumlah Perbaikan Peralatan Kerja</t>
  </si>
  <si>
    <t>Penyediaan Alat       Tulis Kantor</t>
  </si>
  <si>
    <t>Jumlah ATK</t>
  </si>
  <si>
    <t>Jumlah cetakan penggandaan</t>
  </si>
  <si>
    <t>Jumlah komponen instalasi listrik penerangan bangunan</t>
  </si>
  <si>
    <t>Jumlah surat Kabar dean Buku Per-UU</t>
  </si>
  <si>
    <t>Jumlah biaya jamuan makan dan minum</t>
  </si>
  <si>
    <t>Jumlah Koordinasi dan Kosultasi yang diikuti luar daerah</t>
  </si>
  <si>
    <t>Jumlah Koordinasi dan Kosultasi yang diikuti dalam daerah</t>
  </si>
  <si>
    <t>Kegiatan Penyebarluaskan Informasi Pembangunan</t>
  </si>
  <si>
    <t xml:space="preserve">Jumlah kegiatan penyampaian nformasi pembangunan </t>
  </si>
  <si>
    <t>Persentase sarana dan prasarana aparatur dalam kondisi baik</t>
  </si>
  <si>
    <t>Pengadaan perlengkapan gedung kantor</t>
  </si>
  <si>
    <t>Jumlah pengadaan perlengkapan gedung kantor</t>
  </si>
  <si>
    <t>Pengadaan peralatan  gedung kantor</t>
  </si>
  <si>
    <t>Jumlah pengadaan peralatan gedung kantor</t>
  </si>
  <si>
    <t>Pengadaan Mobileur</t>
  </si>
  <si>
    <t>Jumlah Pengadaan Mobileur</t>
  </si>
  <si>
    <t>Pemel. Rutin/Berkala Gedung Kantor</t>
  </si>
  <si>
    <t>Jumlah pemeliharaan gedung kantor</t>
  </si>
  <si>
    <t>Pemel. Rutin/Berkala Kendaraan Dinas/Operasional</t>
  </si>
  <si>
    <t>Jumlah pemeliharaan kendaraan dinas</t>
  </si>
  <si>
    <t>Pemel. Rutin/Berkala peralatan gedung kantor</t>
  </si>
  <si>
    <t>Jumlah pemeliharaan rutin/berkala peralatan gedung kantor</t>
  </si>
  <si>
    <t>Pengadaan kendaraan roda 4 dan roda 2</t>
  </si>
  <si>
    <t>Jumlah Pengadaan kendaraan roda 4</t>
  </si>
  <si>
    <t>Rehabilitasi sedang/berat gedung kantor</t>
  </si>
  <si>
    <t>Persentase Rehabilitasi sedang/berat gedung kantor</t>
  </si>
  <si>
    <t>Program Peningkatan Disiplin Aparatur</t>
  </si>
  <si>
    <t>Terlaksananya peningkatan sistem pengawasan internal dan pengendalian pelaksanaan kebijakan KDH</t>
  </si>
  <si>
    <t>Pengadaan  Pakaian Dinas beserta Perlengkapannya</t>
  </si>
  <si>
    <t>Jumlah Pengadaan Pakaian Dinas beserta perlengkapannya</t>
  </si>
  <si>
    <t>Pengadaan Pakaian Khusus hari-hari tertentu</t>
  </si>
  <si>
    <t>Jumlah Pengadaan Pakaian Khusus hari-hari tertentu</t>
  </si>
  <si>
    <t>Program Peningkatan Kapasitas Sumber Daya Manusia</t>
  </si>
  <si>
    <t>Jumlah aparatur yang mengikuti pendidikan dan pelatihan formal</t>
  </si>
  <si>
    <t>Program Peningkatan Profesionalisme Tenaga Pemeriksaan dan Aparatur Pengawasan</t>
  </si>
  <si>
    <t>Terlaksananya Peningkatan Profesionalisme Tenaga Pemeriksa dan Aparatur Pengawasan</t>
  </si>
  <si>
    <t>Pelaksanaan Pengawasan Internal Secara Berkala</t>
  </si>
  <si>
    <t>Jumlah Pengawasan Internal secara Berkala</t>
  </si>
  <si>
    <t>Penanganan Kasus Pengaduan di Lingkungan Pemda</t>
  </si>
  <si>
    <t>Jumlah kasus pengaduan dilingkungan Pemerintahan Daerah</t>
  </si>
  <si>
    <t>Inventarisasi temuan Pengawasan</t>
  </si>
  <si>
    <t>Jumlah temuan pengawasan yang telah terinventarisir</t>
  </si>
  <si>
    <t>Tindak Lanjut Hasil Temuan Pengawasan</t>
  </si>
  <si>
    <t>Jumlah  Hasil Temuan Pengawasan yang telah ditindak lanjuti</t>
  </si>
  <si>
    <t>Pelaksanaan Pembangunan Zona Integritas</t>
  </si>
  <si>
    <t>Jumlah OPD yang melaksanakan Pembangunan Zona Integritas</t>
  </si>
  <si>
    <t>Pelaksanaan Reformasi Birokrasi</t>
  </si>
  <si>
    <t>Jumlah Perangkat Daerah yang mengikuti Kegiatan/sosialisasi Reformasi Birokrasi</t>
  </si>
  <si>
    <t> Meningkatnya Maturitas SPIP</t>
  </si>
  <si>
    <t>Pelaksanaan Matuitas SPIP</t>
  </si>
  <si>
    <t>Jumlah OPD yang mengimplemtasikan SPIP</t>
  </si>
  <si>
    <t>Pelaksanaan Unit Pengendalian Gratifikasi (UPG)</t>
  </si>
  <si>
    <t>Jumlah OPD yang melaksanakan Pengendalian Gratifikasi</t>
  </si>
  <si>
    <t>Review Laporan Keuangan Pemerintah Daerah</t>
  </si>
  <si>
    <t>Jumlah LKPD yang direview</t>
  </si>
  <si>
    <t>Evaluasi Laporan Akuntabilitas kinerja Instansi Pemerintah</t>
  </si>
  <si>
    <t>Jumlah Akuntabilitas Kinerja Instansi Pemerintah yang dievaluasi</t>
  </si>
  <si>
    <t>Evaluasi Rencana Kerja dan Anggaran (RKA)/RKA Perubahan OPD</t>
  </si>
  <si>
    <t>Jumlah Rencana Kerja dan Anggaran (RKA) dan Perubahan RKA yang di evaluasi</t>
  </si>
  <si>
    <t>Revieu Rencana Strategis (Renstra)</t>
  </si>
  <si>
    <t>Jumlah OPD yang telah membuat Renstra sesuai aturan</t>
  </si>
  <si>
    <t>Evaluai Penetapan Kinerja</t>
  </si>
  <si>
    <t>Persentase Penetapan Kinerja yang terlaksana</t>
  </si>
  <si>
    <t>Evaluasi Pengadaaan Barang dan Jasa Pemerintah</t>
  </si>
  <si>
    <t>Persentase Pelaksanaan Pengadaan Barang/jasa sesuai aturan</t>
  </si>
  <si>
    <t xml:space="preserve"> Sosialisasi Tata Cara Penilaian Laporan Kinerja</t>
  </si>
  <si>
    <t>Jumlah APIP yang melakukan penilaian kinerja sesuai ketentuan</t>
  </si>
  <si>
    <t>Evaluasi RPJMD</t>
  </si>
  <si>
    <t>Jumlah RPJMD yang dievaluasi</t>
  </si>
  <si>
    <t>Sosialisasi LHKPN</t>
  </si>
  <si>
    <t>Jumlah OPD yang mengikuti Sosialisasi LHKPN</t>
  </si>
  <si>
    <t>Program Peningkatan Profesionalisme Tenaga Pemeriksa dan Aparatur Pengawasan</t>
  </si>
  <si>
    <t>Pelatihan Pengembangan Tenaga Pemeriksa dan Aparatur Pengawasan</t>
  </si>
  <si>
    <t xml:space="preserve">Jumlah APIP yang  mengikuti diklat </t>
  </si>
  <si>
    <t>Pelatihan Khusus Aparatur Pengawasan Pada Kantor Sendiri</t>
  </si>
  <si>
    <t>Jumlah APIP yang mengikuti Pelatihan Kantor Sendiri</t>
  </si>
  <si>
    <t>Faktor penghambat pencapaian kinerja:</t>
  </si>
  <si>
    <t>Tindak lanjut yang diperlukan dalam triwulan berikutnya:</t>
  </si>
  <si>
    <t>Tindak lanjut yang diperlukan dalam Renja Perangkat Daerah Kabupaten Pesisir Selatan berikutnya:</t>
  </si>
  <si>
    <t>Pengamanan Agama, Pelestarian Budaya dan Kearifan Lokal dlm Kehidupan Bermasyarakat</t>
  </si>
  <si>
    <t>Penyediaan Jasa Komunikasi Sumber Daya Air dan Listrik</t>
  </si>
  <si>
    <t>Adanya biaya jasa telepon dan listrik</t>
  </si>
  <si>
    <t>DINAS TENAGA KERJA DAN TRANSMIGRASI</t>
  </si>
  <si>
    <t>Tersedianya biaya jasa telepon dan listrik</t>
  </si>
  <si>
    <t>Adanya Pembayaran biaya jasa Petugas Administrasi Keuangan</t>
  </si>
  <si>
    <t>Tersedianya jasa administrasi keuangan.</t>
  </si>
  <si>
    <t>Adanya jasa petugas kebersihan kantor</t>
  </si>
  <si>
    <t>Tersedinya jasa petugas kebersihan kantor.</t>
  </si>
  <si>
    <t>Penyediaan alat Tulis Kantor</t>
  </si>
  <si>
    <t>Adanya  ATK untuk menunjang pelaksanaan pekerjaan.</t>
  </si>
  <si>
    <t>Tersedianya Alat Tulis Kantor.</t>
  </si>
  <si>
    <t>Penyediaan barang cetakan dan penggandaan.</t>
  </si>
  <si>
    <t>Adanya barang cetakan dan penggandaan untuk menunjang pelaksanaan pekerjaan.</t>
  </si>
  <si>
    <t>Tersedianya barang cetakan dan pengandaan.</t>
  </si>
  <si>
    <t>Penyediaan komponen instalasi listrik/penerangan bangunan kantor.</t>
  </si>
  <si>
    <t>Bangunan kantor menjadi terang.</t>
  </si>
  <si>
    <t>Tersedianya komponen instalasi listrik/penerangan bangunan kantor.</t>
  </si>
  <si>
    <t>Penyediaan bahan bacaan dan peraturan perundang undangan.</t>
  </si>
  <si>
    <t>Diperolehnya informasi dari berbagai sumber.</t>
  </si>
  <si>
    <t>Tersedianya bahan bacaan/surat kabar.</t>
  </si>
  <si>
    <t xml:space="preserve">Penyediaan Makanan dan Minuman </t>
  </si>
  <si>
    <t>Adanya makan minum untuk penjaga kantor, rapat dan tamu kantor</t>
  </si>
  <si>
    <t>Tersedianya makan minum rapat dan tamu kantor.</t>
  </si>
  <si>
    <t>Rapat- rapat koordinasi dan konsultasi ke luar daerah</t>
  </si>
  <si>
    <t>Diperolehnya informasi dari berbagai sumber dalam rangka pelaksanaan tugas.</t>
  </si>
  <si>
    <t>Adanya rapat- rapat koordinasi dan konsultasi baik dalam propinsi maupun luar propinsi.</t>
  </si>
  <si>
    <t>Terlaksananya revisi renstra dinas tenaga kerja dan transmigrasi</t>
  </si>
  <si>
    <t>Tersedianya dokumen perencanaan jangka menengah dinas tenaga kerja dan transmigrasi.</t>
  </si>
  <si>
    <t>Rapat- rapat koordinasi dan konsultasi dalam  daerah</t>
  </si>
  <si>
    <t>Adanya rapat- rapat koordinasi dan konsultasi se kecamatan dalam kabupaten.</t>
  </si>
  <si>
    <t>Monitoring dan evaluasi pelaksanaan program dan kegiatan</t>
  </si>
  <si>
    <t>Tersedianya data perkembangan hasil pelaksanaan kegiatan.</t>
  </si>
  <si>
    <t>Tersusunya data perkembangan hasil pelaksanaan kegiatan.</t>
  </si>
  <si>
    <t>Pemeliharaan Rutin/Berkala Kendaraan Dinas/Operasional.</t>
  </si>
  <si>
    <t>Tersedinya kendaraan dinas/Operasional yang layak dan siap pakai.</t>
  </si>
  <si>
    <t>Terlaksananya pemeliharaan kendaraan dinas/Operasional.</t>
  </si>
  <si>
    <t>Pengadaan Peralatan  Kantor</t>
  </si>
  <si>
    <t>Adanya peralatan gedung kantor yang dapat menunjang pekerjaan.</t>
  </si>
  <si>
    <t>Tersedianya peralatan kantor.</t>
  </si>
  <si>
    <t>Pemeliharaan Rutin/Berkala peralatan gedung kantor.</t>
  </si>
  <si>
    <t>Gedung dan halaman kantor menjadi bersih dan asri.</t>
  </si>
  <si>
    <t>Terlaksananya pemeliharaan peralatan gedung dan halaman kantor.</t>
  </si>
  <si>
    <t>Pengadaan Mobiler</t>
  </si>
  <si>
    <t>Terpenuhinya mobiler kantor yang dapat menunjang pekerjaan kantor</t>
  </si>
  <si>
    <t>Tersedianya mobiler kantor.</t>
  </si>
  <si>
    <t>Pemeliharaan rutin/berkala gedung kantor</t>
  </si>
  <si>
    <t>Terlaksananya pemeliharaan gedung kantor.</t>
  </si>
  <si>
    <t>Rehab sedang/ berat gedung kantor</t>
  </si>
  <si>
    <t>Terciptanya sarana/ prasarana BLK yang layak digunakan bagi siswa</t>
  </si>
  <si>
    <t>Tersedianya rehab sedang/ berat sarana dan prasarana BLK</t>
  </si>
  <si>
    <t>Pengadaan Gedung Asrama Siswa Pelatihan</t>
  </si>
  <si>
    <t>Terpenuhinya kebutuhan pelatihan siswa</t>
  </si>
  <si>
    <t>Terciptanya suasana pelatihan yang nyaman bagi siswa pelatihan</t>
  </si>
  <si>
    <t>Pengadaan Alat Rumah Tangga</t>
  </si>
  <si>
    <t xml:space="preserve">Terpenuhi kebutuhan perlengkapan alat-alat kantor </t>
  </si>
  <si>
    <t xml:space="preserve">Tersedianya alat-alat rumah tangga </t>
  </si>
  <si>
    <t xml:space="preserve">Terpenuhinya sarana dan prasarana peralatan kerja </t>
  </si>
  <si>
    <t>Tersedianya peralatan kerja</t>
  </si>
  <si>
    <t>Pengadaan Peralatan komputer</t>
  </si>
  <si>
    <t xml:space="preserve">Terpenuhinya peralatan kantor </t>
  </si>
  <si>
    <t>Pengadaan Alat Studio</t>
  </si>
  <si>
    <t>Tersedianya peralata kantor</t>
  </si>
  <si>
    <t>Pengadaan Alat Studio dan Film</t>
  </si>
  <si>
    <t xml:space="preserve">Terpnuhinya peralatan kantor </t>
  </si>
  <si>
    <t>Pengadaan Kendaraan Operasional</t>
  </si>
  <si>
    <t xml:space="preserve">Terpenuhinya  kebutuhan operasional kendaraan dinas kantor </t>
  </si>
  <si>
    <t>Tersedianya Kendaraan Dinas/ Opreasional</t>
  </si>
  <si>
    <t>Pengadaan Selasar Gedung  Kantor</t>
  </si>
  <si>
    <t xml:space="preserve">meningkatnya kebersihan dan keindahan kantor </t>
  </si>
  <si>
    <t>Tersedianya jasa kebersihan kantor</t>
  </si>
  <si>
    <t>Bimbingan Teknis implementasi peraturan perundang-undangan.</t>
  </si>
  <si>
    <t>Meningkatnya wawasan serta pengetahuan aparatur.</t>
  </si>
  <si>
    <t>Adanya bimbingan teknis implementasi peratutan perundang undangan.</t>
  </si>
  <si>
    <t xml:space="preserve">meningkatnya Ketersediaan Tenaga Kerja terlatih </t>
  </si>
  <si>
    <t>Jumlah tenaga kerja yang terampil dan mempunyai keahlian (orang)</t>
  </si>
  <si>
    <t>Pendidikan dan pelatihan keterampilan bagi pencari kerja.</t>
  </si>
  <si>
    <t>Terciptanya lulusan pendidikan keterampilan yang mempunyai skill dan daya saing.</t>
  </si>
  <si>
    <t>Tersedianya pendidikan dan keterampilan bagi pencari kerja.</t>
  </si>
  <si>
    <t>Pemeliharaan Rutin/ Berkala Sarana dan Prasarana BLK</t>
  </si>
  <si>
    <t>Terpeliharanya peralatan dan sarana dan prasarana BLK</t>
  </si>
  <si>
    <t>Tersedianya peralatan dan sarana dan prasarana BLK</t>
  </si>
  <si>
    <t>Pengadaan Peralatan Pendidikan dan Keterampilan Bagi Pencari Kerja</t>
  </si>
  <si>
    <t xml:space="preserve">Tersedianya sarana pendidikan dan keterampilan bagi pencari kerja </t>
  </si>
  <si>
    <t xml:space="preserve">Meningkatnya sarana pendidikan dan keterampilan bagi pencari kerja </t>
  </si>
  <si>
    <t>Pemeliharaan peralatan Workshop BLK Painan</t>
  </si>
  <si>
    <t xml:space="preserve">Terpenuhinya peralatan workshop untuk memudahkan siswa dalam praktek/ kerja </t>
  </si>
  <si>
    <t>Tersedianya peralatan workshop bagi siswa BLK</t>
  </si>
  <si>
    <t xml:space="preserve">Meningkatnya Kesempatan Kerja </t>
  </si>
  <si>
    <t xml:space="preserve">Persentase tenaga kerja yang mendapatkan pekerjaan di Luar Negeri </t>
  </si>
  <si>
    <t>Penyebarluasan informasi bursa tenaga kerja.</t>
  </si>
  <si>
    <t>Mengetahui jumlah perusahaan yang mendapatkan informasi kerja melalui SIKD dan BKOL.</t>
  </si>
  <si>
    <t>Adanya penyebarluasan informasi bursa tenaga kerja</t>
  </si>
  <si>
    <t>Pengadaan aplikasi pelayanan kartu pencari kerja (setelah perubahan berubah menjadi sosialisasi aplikasi pembuatan kartu pencari kerja)</t>
  </si>
  <si>
    <t>Terlaksananya kegiatan aplikasi kartu pencari kerja secara Online.</t>
  </si>
  <si>
    <t>Adanya monitoring aplikasi pelayanan kartu pencari kerja.</t>
  </si>
  <si>
    <t>Penyusunan Perencanaan Tenaga Kerja Daerah (PTKD)</t>
  </si>
  <si>
    <t>Tersusunnya perencanaan tenaga kerja daerah</t>
  </si>
  <si>
    <t>terlaksananya perencanaan tenaga kerja daerah</t>
  </si>
  <si>
    <t>Perluasan Kesempatan Kerja Melalui Tenaga Kerja Mandiri (TKM)</t>
  </si>
  <si>
    <t>Jumlah Peserta yang menjadi TKM</t>
  </si>
  <si>
    <t>tersedianya peserta menjadi TKM</t>
  </si>
  <si>
    <t>Persentase perusahaan yang menerapkan aturan-aturan ketenagakerjaan</t>
  </si>
  <si>
    <t>Peningkatan pengawasan, perlindungan dan penegakan hukum terhadap keselamatan dan kesehatan kerja.</t>
  </si>
  <si>
    <t>Mengetahui jumlah perusahaan yang layak yang menerapkan norma keselamatan dan kesehatan kerja ( K3 ).</t>
  </si>
  <si>
    <t>Adanya peningkatan, pengawasan, perlindungan dan penegakan hukum terhadap keselamatan kerja.</t>
  </si>
  <si>
    <t>Peningkatan Pembinaan Hubungan Industrial</t>
  </si>
  <si>
    <t xml:space="preserve">Jumlah tenaga kerja yang telah mengikuti sosialisasi peraturan perundang-undang tentang ketenakerjaan </t>
  </si>
  <si>
    <t xml:space="preserve">terlaksananaya sosialisasi peraturan perundangundang terntang ketenagakerjaan bagi tenaga kerja </t>
  </si>
  <si>
    <t>Pemantauan Kinerja Lembaga Penyalur Tenaga Kerja</t>
  </si>
  <si>
    <t xml:space="preserve">Terlaksananaya pemantauan kinerja lembaga penyalur tenaga kerja </t>
  </si>
  <si>
    <t>Meningkatnya Pembangunan Dikawasan Transmigrasi (KTM)</t>
  </si>
  <si>
    <t>Persentase sarana dan prasarana pendukung di wilayah KTM dalam kondisi baik (persen)</t>
  </si>
  <si>
    <t>Fasilitas Dukungan KTM Lunang Silaut</t>
  </si>
  <si>
    <t>Terkendalinya pelaksanaan KTM Lunang Silaut</t>
  </si>
  <si>
    <t xml:space="preserve">Adanya Fasilitas Dukungan KTM </t>
  </si>
  <si>
    <t>Pendampingan dana pembantuan KTM Lunang Silaut.</t>
  </si>
  <si>
    <t>Terkendalinya pelaksanaan pembangunan, pengembangan KTM Lunang Silaut.</t>
  </si>
  <si>
    <t>Adanya pemdampingan dana pembantuan KTM Lunang Silaut.</t>
  </si>
  <si>
    <t>Meningkatnya Kemandirian Lembaga Ekonomi Masyarakat</t>
  </si>
  <si>
    <t>Pembinaan Usaha Transmigrasi</t>
  </si>
  <si>
    <t>Meningkatnya lembaga transmigrasi dan masyarakat sekitarnya.</t>
  </si>
  <si>
    <t>Adanya pembinaan usaha transmigrasi</t>
  </si>
  <si>
    <t>Perencanaan Fasilitas dukungan KTM</t>
  </si>
  <si>
    <t>Terlaksananya perencanaan pembangunan dikawasan KTM Lunang Silaut.</t>
  </si>
  <si>
    <t>Adanya perencanaan fasilitas dukungan KTM Lunang Silaut.</t>
  </si>
  <si>
    <t>Penempatan Transmigrasi Baru ( PTB ) KTM Lunang Silaut</t>
  </si>
  <si>
    <t>Terlaksananya penempatan transmigrasi baru.</t>
  </si>
  <si>
    <t>Adanya penempatan transmigrasi baru.</t>
  </si>
  <si>
    <t>Operasional Unit pelaksanaan teknis Kota Terpadu Mandiri ( KTM ) Lunang Silaut.</t>
  </si>
  <si>
    <t>Terlaksananya kegiatan pengelolaan KTM</t>
  </si>
  <si>
    <t>Adanya operasional unit pelaksanaan teknis Kota Terpadu Mandiri.</t>
  </si>
  <si>
    <t>Operasional UPTD KTM Lunang Silaut / lembaga pengelola kawasan transmigrasi</t>
  </si>
  <si>
    <t xml:space="preserve">Jumlah badan pengelola </t>
  </si>
  <si>
    <t>Penyiapan Kawasan Pemukiman Transmigrasi Pugar</t>
  </si>
  <si>
    <t>Tersedianya kawasan permukiman transmigrasi pugar</t>
  </si>
  <si>
    <t>Operasional Pengelola KTM Lunang Silaut</t>
  </si>
  <si>
    <t>Terpenuhinya kebutuhan badan pengelola</t>
  </si>
  <si>
    <t>tersedianya kebutuhan badan pengelola</t>
  </si>
  <si>
    <t>Pembinaan Sosial Budaya Kawasan Transmigrasi</t>
  </si>
  <si>
    <t>Tersedianya perlekapan kesenian kawasan transmigrasi</t>
  </si>
  <si>
    <t>Terpenuhinya perlengkapn kesian dokawasan transmigrasi</t>
  </si>
  <si>
    <t>Program Pelayanan Administrasi Perkantoran</t>
  </si>
  <si>
    <t>12 bulan</t>
  </si>
  <si>
    <t>PUTR</t>
  </si>
  <si>
    <t>kebutuhan air, listrik dan jasa komunikasi</t>
  </si>
  <si>
    <t>Penyediaan Jasa Jaminan Barang Milik Daerah</t>
  </si>
  <si>
    <t>inventarisasi aset</t>
  </si>
  <si>
    <t>12 Bulan</t>
  </si>
  <si>
    <t>kebutuhan jasa administrasi keuangan (% )</t>
  </si>
  <si>
    <t>kebutuhan jasa kebersihan kantor (% )</t>
  </si>
  <si>
    <t>Kebutuhan alat tulis kantor ( % )</t>
  </si>
  <si>
    <t>Barang cetakan dan penggandaan untuk kantor ( % )</t>
  </si>
  <si>
    <t>Komponen penerangan bangunan kantor ( % )</t>
  </si>
  <si>
    <t>Penyediaan Peralatan dan Perlengkapan kantor</t>
  </si>
  <si>
    <t>Jumlah peralatan dan perlengkapan kantor</t>
  </si>
  <si>
    <t>makan minum rapat dan tamu</t>
  </si>
  <si>
    <t>Pelaksanaan rapat - rapat koordinasi luar daerah (% )</t>
  </si>
  <si>
    <t>Pelaksanaan rapat - rapat koordinasi dalam daerah (% )</t>
  </si>
  <si>
    <t>Peringkat Kinerja</t>
  </si>
  <si>
    <t>Meningkatnya sarana dan prasarana pelayanan publik</t>
  </si>
  <si>
    <t>Program Peningkatan Sarana dan Prasarana Aparatur</t>
  </si>
  <si>
    <t>persentase sarana dan prasarana aparatur dalam kondisi baik</t>
  </si>
  <si>
    <t>Pembangunan Gedung Kantor</t>
  </si>
  <si>
    <t xml:space="preserve">Jumlah pembangunan gedung pemerintah </t>
  </si>
  <si>
    <t>3 unit</t>
  </si>
  <si>
    <t>ada pekerjaan yg multiyears smpi tahun2018</t>
  </si>
  <si>
    <t>Perencanaan Prasarana Gedung Kantor</t>
  </si>
  <si>
    <t>jumlah dokumen perencanaan</t>
  </si>
  <si>
    <t>3 paket</t>
  </si>
  <si>
    <t>Pengadaan Sound System Gedung DPRD Kab. Pesisir Selatan</t>
  </si>
  <si>
    <t>Pengadaan soundsystem</t>
  </si>
  <si>
    <t>Interior Ruangan Pimpinan DPRD Kab. Pesisir Selatan</t>
  </si>
  <si>
    <t>Lanscape Dinas PU dan Penataan Ruang</t>
  </si>
  <si>
    <t>Lanscape DPRD Kab. Pesisir Selatan</t>
  </si>
  <si>
    <t>Pengadaan Genset</t>
  </si>
  <si>
    <t>Jumlah pengadaan genset</t>
  </si>
  <si>
    <t>Pemeliharaan Rutin / Berkala Kendaraan Dinas Operasional</t>
  </si>
  <si>
    <t>Pemeliharaan/ operasional kendaraan dinas</t>
  </si>
  <si>
    <t>Pemeliharaan Rutin / Berkala Peralatan Gedung Kantor</t>
  </si>
  <si>
    <t>Pemeliharaan peralatan gedung kantor</t>
  </si>
  <si>
    <t>Pemeliharaan Rutin / Berkala Gedung kantor</t>
  </si>
  <si>
    <t>Pemeliharaan  gedung kantor</t>
  </si>
  <si>
    <t xml:space="preserve">Sharing pendanaan pengembangan objek wisata carocok painan ( pedistrian, panggung)(bantuan keuangan yang bersifat khusus propinsi tahun 2017 ) </t>
  </si>
  <si>
    <t>Pemotongan lahan rest area puncak paku - koto XI tarusan</t>
  </si>
  <si>
    <t xml:space="preserve">Pembangunan UDKP Kec. Lengayang </t>
  </si>
  <si>
    <t>Pemebangunan gedung UDKP</t>
  </si>
  <si>
    <t xml:space="preserve">Pemeliharaan Rumah Dinas Eselon II </t>
  </si>
  <si>
    <t>Pemeliharaan  rumah dinas kantor</t>
  </si>
  <si>
    <t xml:space="preserve">Pembangunan Pos Jaga, Ruang Konsultasi dan Mushalla Kejaksaan Negeri Paina  </t>
  </si>
  <si>
    <t>Pembangunan Pagar SMP 1 Painan</t>
  </si>
  <si>
    <t>Pemeliharaan Rutin / Berkala Rumah Dinas</t>
  </si>
  <si>
    <t>Rehabilitasi Sedang / Berat Gedung Kantor</t>
  </si>
  <si>
    <t> Program Peningkatan Kapasitas Sumber Daya Aparatur</t>
  </si>
  <si>
    <t>Persentase peningkatan kemampuan aparatur</t>
  </si>
  <si>
    <t>Persentase pelatihan formal</t>
  </si>
  <si>
    <t>PROGRAM PENINGKATAN DISIPLIN  APARATUR</t>
  </si>
  <si>
    <t>Persentase peningkatan Displin aparatiur</t>
  </si>
  <si>
    <t>Pengadaan Pakaian Kerja Lapangan</t>
  </si>
  <si>
    <t>Jumlah pakaian kerja lapangan</t>
  </si>
  <si>
    <t>Program Pengadaan, Peningkatan Sarana dan Prasarana  Rumah Sakit / Rumah Sakit Jiwa / Rumah Sakit Paru- Paru / Rumah Sakit Mata</t>
  </si>
  <si>
    <t>Persentase Pengadaan, Peningkatan Sarana dan Prasarana  Rumah Sakit / Rumah Sakit Jiwa / Rumah Sakit Paru- Paru / Rumah Sakit Mata</t>
  </si>
  <si>
    <t>Pembuatan AMDAL RSUD Baru</t>
  </si>
  <si>
    <t>Pembuatan AMDAL RSUD</t>
  </si>
  <si>
    <t>Lanjutan keg.2016</t>
  </si>
  <si>
    <t>Manajemen Konstruksi RSUD Baru ( Lanjutan 2016 )</t>
  </si>
  <si>
    <t>Manajemen Konstruksi RSUD</t>
  </si>
  <si>
    <t>Operasional Pembangunan RSUD M. Zein Painan ( Lanjutan 2016 )</t>
  </si>
  <si>
    <t xml:space="preserve">Persentase Operasional Pembangunan RSUD </t>
  </si>
  <si>
    <t>Penyusunan Master Plan dan Perencanaan Teknis RSUD Baru (lanjutan2015)</t>
  </si>
  <si>
    <t>Master Plan RSUD</t>
  </si>
  <si>
    <t>Lanjutan keg.2015</t>
  </si>
  <si>
    <t>Pembangunan Relokasi RSUD dr. M.Zein Painan /PIP (lanjutan 2015)</t>
  </si>
  <si>
    <t xml:space="preserve">Pembangunan Relokasi RSUD </t>
  </si>
  <si>
    <t>Program Pembangunan Saluran Drainase/Gorong-Gorong</t>
  </si>
  <si>
    <t>Pembangunan Saluran Drainase/Gorong-gorong (km)</t>
  </si>
  <si>
    <t>Pembangunan Saluran Drainase/ Gorong-gorong</t>
  </si>
  <si>
    <t>Persentase Pembangunan Saluran Drainase/ Gorong-gorong</t>
  </si>
  <si>
    <t>Pemeliharaan rutin drainase kota</t>
  </si>
  <si>
    <t>Persentase Pemeliharaan  drainase </t>
  </si>
  <si>
    <t>Perencanaan Drainase dan Trotoar</t>
  </si>
  <si>
    <t>Jumlah dokumen perencanaan</t>
  </si>
  <si>
    <t>Pembangunan Saluran Drainase dan trotoar</t>
  </si>
  <si>
    <t>Persentase Pembangunan Saluran Drainase dan trotoar</t>
  </si>
  <si>
    <t>Perencanaan Pembangunan Saluran Drainase dan trotoar</t>
  </si>
  <si>
    <t>Meningkatnya kualitas infrastruktur jalan dan jembatan</t>
  </si>
  <si>
    <t>Program Rehabilitasi/ Pemeliharaan Jalan dan Jembatan</t>
  </si>
  <si>
    <t>Terpeliharanya jalan kab. (km) dan Jembatan Kab ( Unit )</t>
  </si>
  <si>
    <t>Pemeliharaan Jalan Kabupaten</t>
  </si>
  <si>
    <t xml:space="preserve">Pemeliharaan Jalan </t>
  </si>
  <si>
    <t>Pemeliharaan Jembatan Kabupaten</t>
  </si>
  <si>
    <t xml:space="preserve">Pemeliharaan Jembatan </t>
  </si>
  <si>
    <t>Pemeliharaan Berkala / Rehabilitasi jalan Kabupaten ( DAK 2017 )</t>
  </si>
  <si>
    <t>Rehab Jembatan gantung</t>
  </si>
  <si>
    <t>Rehabilitasi Peningkatan Jembatan</t>
  </si>
  <si>
    <t xml:space="preserve">Rehab Jembatan </t>
  </si>
  <si>
    <t>Program Pengembangan Wilayah Strategis dan Cepat Tumbuh</t>
  </si>
  <si>
    <t>Persentase Pengembangan Wilayah Strategis dan  Cepat Tumbuh</t>
  </si>
  <si>
    <t>Pembangunan/Peningkatan Infrastruktur</t>
  </si>
  <si>
    <t>Persentase Pembangunan/ Peningkatan Infrastruktur</t>
  </si>
  <si>
    <t>5 paket</t>
  </si>
  <si>
    <t>Pembangunan Infrastruktur kawasan Destinasi wisata</t>
  </si>
  <si>
    <t>5 Paket</t>
  </si>
  <si>
    <t>Penyusunan Dokumen Amdal Mesjid Terapung</t>
  </si>
  <si>
    <t>Sayembara Desain Mesjid Terapung</t>
  </si>
  <si>
    <t>Batal</t>
  </si>
  <si>
    <t>Perencanaan alun - alun kota Painan</t>
  </si>
  <si>
    <t xml:space="preserve">Dokumen perencanaan </t>
  </si>
  <si>
    <t>Perencanaan Pembangunan Infrastruktur Kawasan Destinasi wisata</t>
  </si>
  <si>
    <t>Pembangunan Gerbang Kawasan Wisata Mandeh</t>
  </si>
  <si>
    <t>Meningkatnya pemenuhan kebutuhan sarana dan prasarana layanan sosial berupa air bersih dan layanan sanitasi</t>
  </si>
  <si>
    <t>Program Pembangunan Infrastruktur Perdesaan</t>
  </si>
  <si>
    <t>Persentase Pembangunan Infrastruktur Perdesaan</t>
  </si>
  <si>
    <t>Pembangunan IPAL Komunal</t>
  </si>
  <si>
    <t>Optimalisasi Peningkatan Program Pamsimas ( DDUB )</t>
  </si>
  <si>
    <t>Jumlah pamsimas yang terbangun</t>
  </si>
  <si>
    <t>Penunjang Kegiatan Pamsimas</t>
  </si>
  <si>
    <t>Penunjang  Pamsimas</t>
  </si>
  <si>
    <t>Peningkatan Akses Sanitasi melalui Sambungan Rumah ( SR ) Kec. Koto XI Tarusan</t>
  </si>
  <si>
    <t>jumlah SR</t>
  </si>
  <si>
    <t xml:space="preserve">Penunjang Sanimas IDB </t>
  </si>
  <si>
    <t xml:space="preserve">Penunjang Sanimas </t>
  </si>
  <si>
    <t>Pengembangan Program Hibah Air Minum</t>
  </si>
  <si>
    <t>Pembangunan Pamsimas Reguler APBD</t>
  </si>
  <si>
    <t>Pembangunan Kantor KAN Tapan</t>
  </si>
  <si>
    <t>Pengadaan Sumur Bor</t>
  </si>
  <si>
    <t>PROGRAM MONITORING, EVALUASI DAN PELAPORAN</t>
  </si>
  <si>
    <t>PERSENTASE MONITORING, EVALUASI DAN PELAPORAN</t>
  </si>
  <si>
    <t>Monitoring Evaluasi dan Pelaporan</t>
  </si>
  <si>
    <t>Monitoring kegiatan fisik dan pembuatan laporan</t>
  </si>
  <si>
    <t>Sinkronisasi Program DAK dan APBN</t>
  </si>
  <si>
    <t>Koordinasi kegiatan DAK dan APBN</t>
  </si>
  <si>
    <t>Rencana Program dan Sinkronisasi RPI2JM- CIPTA KARYA</t>
  </si>
  <si>
    <t>Penyusunan Dokumen RPI2JM- CIPTA KARYA</t>
  </si>
  <si>
    <t>Penyusunan Dokumen HSBGN</t>
  </si>
  <si>
    <t>Meningkatnya kualitas lingkungan dan kawasan ruang terbuka hijau</t>
  </si>
  <si>
    <t>Program Pemeliharaan Sarana dan Prasarana Petamanan</t>
  </si>
  <si>
    <t>Pemeliharaan Rutin/berkala taman kota (paket)</t>
  </si>
  <si>
    <t>Pemeliharaan dan Operasional Pertamanan</t>
  </si>
  <si>
    <t>Pemeliharaan taman</t>
  </si>
  <si>
    <t>Pemeliharaan Rutin / Berkala Penerangan Jalan Umum</t>
  </si>
  <si>
    <t>Pemeliharaan PJU</t>
  </si>
  <si>
    <t>Program Pembangunan dan Peningkatan Jalan dan Jembatan</t>
  </si>
  <si>
    <t>Persentase jalan kondisi baik</t>
  </si>
  <si>
    <t>Peningkatan Jalan Kabupaten ( DAK 2017 )</t>
  </si>
  <si>
    <t>Peningkatan Jalan Kabupaten ( DAK 2018 )</t>
  </si>
  <si>
    <t>Peningkatan Jalan (DAU )</t>
  </si>
  <si>
    <t>Pembangunan Jembatan Kabupaten</t>
  </si>
  <si>
    <t>Persentase jembatan kondisi baik</t>
  </si>
  <si>
    <t xml:space="preserve">ada pekerjaan yg multiyears smpi tahun 2018 </t>
  </si>
  <si>
    <t>Perencanaan Infrastruktur Jalan Kabupaten</t>
  </si>
  <si>
    <t>Dokumen perencanaan jalan</t>
  </si>
  <si>
    <t xml:space="preserve">Perencanaan Pembangunan dan peningkatan Jalan </t>
  </si>
  <si>
    <t xml:space="preserve">Perencanaan Pembangunan Jembatan </t>
  </si>
  <si>
    <t>Dokumen perencanaan jembatan</t>
  </si>
  <si>
    <t>Pembangunan Jalan Kabupaten</t>
  </si>
  <si>
    <t>Pembangunan Jalan Dan Jembatan Salido Carocok</t>
  </si>
  <si>
    <t>Kegiatan batal</t>
  </si>
  <si>
    <t>Pembangunan dan Peningkatan Jalan Kecamatan Tarusan</t>
  </si>
  <si>
    <t>Pembangunan dan Peningkatan Jalan Kecamatan Bayang</t>
  </si>
  <si>
    <t>Pembangunan dan Peningkatan Jalan Kecamatan Bayang Utara</t>
  </si>
  <si>
    <t>Pembangunan dan Peningkatan Jalan Kecamatan IV Jurai</t>
  </si>
  <si>
    <t>Pembangunan dan Peningkatan Jalan Kecamatan Batang Kapas</t>
  </si>
  <si>
    <t>Pembangunan dan Peningkatan Jalan Kecamatan Sutera</t>
  </si>
  <si>
    <t>Pembangunan dan Peningkatan Jalan Kecamatan Lengayang</t>
  </si>
  <si>
    <t>Pembangunan dan Peningkatan Jalan Kecamatan Ranah Pesisir</t>
  </si>
  <si>
    <t>Pembangunan dan Peningkatan Jalan Kecamatan Linggo Sari Baganti</t>
  </si>
  <si>
    <t>Pembangunan dan Peningkatan Jalan Kecamatan Air Pura</t>
  </si>
  <si>
    <t>Pembangunan dan Peningkatan Jalan Kecamatan Pancung Soal</t>
  </si>
  <si>
    <t>Pembangunan dan Peningkatan Jalan Kecamatan Basa Ampek Balai Tapan</t>
  </si>
  <si>
    <t>Pembangunan dan Peningkatan Jalan Kecamatan Ranah Ampek Hulu Tapan</t>
  </si>
  <si>
    <t>Pembangunan dan Peningkatan Jalan Kecamatan Lunang</t>
  </si>
  <si>
    <t>Pembangunan dan Peningkatan Jalan Kecamatan Silaut</t>
  </si>
  <si>
    <t>Pembangunan Jembatan Gantung</t>
  </si>
  <si>
    <t>Penunjang DAK Peningkatan Jalan Kabupaten</t>
  </si>
  <si>
    <t>Persentase penunjang</t>
  </si>
  <si>
    <t>Penguatan Data Base dan Survey Kondisi ( DAK )</t>
  </si>
  <si>
    <t>Database jalan</t>
  </si>
  <si>
    <t xml:space="preserve">Penguatan Data Base dan Survey Kondisi </t>
  </si>
  <si>
    <t>Pembangunan Jalan ( TMMD )</t>
  </si>
  <si>
    <t>Jalan Sarasah Batuang Kenagarian Puluik - puluik Kec. Bayang Utara Kab. Pesisir Selatan ( Bantuan Keuangan yang Bersifat Khusus Propinsi Tahun 2017 )</t>
  </si>
  <si>
    <t>Peningkatan jalan lingkung Kp. Muaro Sakai Kec. Pancung Soal Kab. Pesisir Selatan ( Bantuan Keuangan yang Bersifat Khusus Propinsi Tahun 2017 )</t>
  </si>
  <si>
    <t>Pembangunan Jalan Baru Batuang ke air terjun nag . Puluik - puluik  Kec. Bayang utara Kab. Pesisir Selatan ( Bantuan Keuangan yang Bersifat Khusus Propinsi Tahun 2017 )</t>
  </si>
  <si>
    <t xml:space="preserve"> Jalan Patai Batuang  kenagarian . Puluik - puluik  Kec. Bayang utara Kab. Pesisir Selatan ( Bantuan Keuangan yang Bersifat Khusus Propinsi Tahun 2017 )</t>
  </si>
  <si>
    <t xml:space="preserve"> Perbaikan jalan lingkar bukit pulatan ke SMA 3 Lengayang Kab. Pesisir Selatan ( Bantuan Keuangan yang Bersifat Khusus Propinsi Tahun 2017 )</t>
  </si>
  <si>
    <t xml:space="preserve"> Lanjutan Pembangunan Jalan Lambung Bukit Gunung Malelo Kab. Pesisir Selatan ( Bantuan Keuangan yang Bersifat Khusus Propinsi Tahun 2017 )</t>
  </si>
  <si>
    <t xml:space="preserve"> Pembangunan Jembatan Batang Talo Nag. Taluk Ampalu Inderapura Kec. Pc. Soal, pjg 20 m lebar 4 m Kab. Pesisir Selatan ( Bantuan Keuangan yang Bersifat Khusus Propinsi Tahun 2017 )</t>
  </si>
  <si>
    <t>Pengecoran jalan SD 16 Bukit Siayah Lumpo Kec. IV Jurai Kab. Pesisir Selatan ( Bantuan Keuangan yang Bersifat Khusus Propinsi Tahun 2017 )</t>
  </si>
  <si>
    <t>Aspal Lapen Jalan Evakuasi Tsunami Simpang Empat Padang Sirih Sungai Tunu Ranah Pesisir  Kab. Pesisir Selatan ( Bantuan Keuangan yang Bersifat Khusus Propinsi Tahun 2017 )</t>
  </si>
  <si>
    <t>Aspal Lapen Jalan Amban Sumedang Nyiur Melambai Ranah pesisir  Kab. Pesisir Selatan ( Bantuan Keuangan yang Bersifat Khusus Propinsi Tahun 2017 )</t>
  </si>
  <si>
    <t>Pembukaan Jalan Sungai Landai Kapuah Utara Koto XI Tarusan  Kab. Pesisir Selatan ( Bantuan Keuangan yang Bersifat Khusus Propinsi Tahun 2017 )</t>
  </si>
  <si>
    <t>Pembukaan Jalan Sungai Salak Nag. Koto Rawang Salido  Kab. Pesisir Selatan ( Bantuan Keuangan yang Bersifat Khusus Propinsi Tahun 2017 )</t>
  </si>
  <si>
    <t>Pembukaan Jalan dan Rabat Beton Simpang Empat Nanggalo Tarusan   Kab. Pesisir Selatan ( Bantuan Keuangan yang Bersifat Khusus Propinsi Tahun 2017 )</t>
  </si>
  <si>
    <t>Peningkatan jalan nag. Kambang Timur Kec. Lengayang  Kab. Pesisir Selatan ( Bantuan Keuangan yang Bersifat Khusus Propinsi Tahun 2017 )</t>
  </si>
  <si>
    <t>Peningkatan jalan nag. Kapujan Kec. Bayang  Kab. Pesisir Selatan ( Bantuan Keuangan yang Bersifat Khusus Propinsi Tahun 2017 )</t>
  </si>
  <si>
    <t>Pasangan Batu Jalan Sawah Laweh Lereng Bukit Kec. Bayang  Kab. Pesisir Selatan ( Bantuan Keuangan yang Bersifat Khusus Propinsi Tahun 2017 )</t>
  </si>
  <si>
    <t>Meningkatnya kualitas penataan ruang dan penataan bangunan</t>
  </si>
  <si>
    <t>PROGRAM PENGENDALIAN DAN PEMANFAATAN RUANG</t>
  </si>
  <si>
    <t>PERSENTASE PENGENDALIAN DAN PEMANFAATAN RUANG</t>
  </si>
  <si>
    <t>RTBL Kawasan Nagari Mandeh</t>
  </si>
  <si>
    <t>Tersusunnya RTBL</t>
  </si>
  <si>
    <t>Operasional Pengendalian dan Pengawasan Ruang</t>
  </si>
  <si>
    <t>Rencana Detail Tata Ruang Kota Kambang Kec. Lengayang</t>
  </si>
  <si>
    <t>Tersusunnya RDTR</t>
  </si>
  <si>
    <t>Koordinasi BKPRD</t>
  </si>
  <si>
    <t>Program Penataan Bangunan dan lingkungan</t>
  </si>
  <si>
    <t>Persentase Penataan Bangunan dan lingkungan</t>
  </si>
  <si>
    <t>Pendataan Bangunan Gedung , Implementasi Perda Bangunan Gedung Tahap I ( Pilot Projec Kota Painan )</t>
  </si>
  <si>
    <t>Persentase Penataan Bangunan</t>
  </si>
  <si>
    <t>Kegiatan ini batal( realisasi hanya pencairan ATK</t>
  </si>
  <si>
    <t>PROGRAM PENGATURAN JASA KONSTRUKSI</t>
  </si>
  <si>
    <t>PERSENTASE PENGATURAN JASA KONSTRUKSI</t>
  </si>
  <si>
    <t>Pengaturan dan Penyelenggaraan Izin Usaha Jasa Konstruksi</t>
  </si>
  <si>
    <t>jumlah surat rekomendasi IUJK</t>
  </si>
  <si>
    <t>Program Peningkatan Sarana dan Prasarana Kebinamargaan</t>
  </si>
  <si>
    <t>PersentasePeningkatan Sarana dan Prasarana Kebinamargaan</t>
  </si>
  <si>
    <t>Rehabilitasi/pemeliharaan alat-alat ukur dan bahan laboratorium kebinamargaan</t>
  </si>
  <si>
    <t xml:space="preserve">pemeliharaan alat-alat ukur dan bahan laboratorium </t>
  </si>
  <si>
    <t>Pengadaan Alat ukur dan bahan laboratorium kebinamargaan</t>
  </si>
  <si>
    <t>Jumlah Alat ukur dan bahan laboratorium kebinamargaan</t>
  </si>
  <si>
    <t>Operasional laboratorium</t>
  </si>
  <si>
    <t>Pengadaan Alat - alat berat</t>
  </si>
  <si>
    <t>Jumlah Pengadaan Alat - alat berat</t>
  </si>
  <si>
    <t>Penerangan fasilitas umum</t>
  </si>
  <si>
    <t>Persentase Penerangan fasilitas umum</t>
  </si>
  <si>
    <t>Program Pengembangan Kinerja Pengelolaan Air Minum dan Air Limbah</t>
  </si>
  <si>
    <t>Persentase penduduk berakses air minum/bersih</t>
  </si>
  <si>
    <t xml:space="preserve">Pemeliharaan Sarana Prasarana Air Bersih </t>
  </si>
  <si>
    <t>Pemeliharaan Sarana Prasarana Air Bersih Kab. Pesisir Selatan</t>
  </si>
  <si>
    <t>Pembangunan SPAM IKK</t>
  </si>
  <si>
    <t>Persentase Pembangunan SPAM IKK</t>
  </si>
  <si>
    <t>Penunjang Kegiatan AMPL (Air minum dan penyehatan lingkungan )</t>
  </si>
  <si>
    <t>Persentase penunjang AMPL</t>
  </si>
  <si>
    <t>Pembangunan Sarana Air Minum Luhung Pasar Baru</t>
  </si>
  <si>
    <t>Perencanaan SPAM Air Minum</t>
  </si>
  <si>
    <t>Dokumen perencanaan</t>
  </si>
  <si>
    <t>Pembangunan Infrastruktur Air Minum ( DAK Afirmasi 2018 )</t>
  </si>
  <si>
    <t>Pembangunan Infrastruktur Air Minum ( DAK Reguler 2018 )</t>
  </si>
  <si>
    <t>Pembangunan Prasarana Sanitasi ( DAK Reguler 2018 )</t>
  </si>
  <si>
    <t>Akses sanitasi layak</t>
  </si>
  <si>
    <t>Pembangunan Prasarana Sanitasi ( DAK Penugasan2018 )</t>
  </si>
  <si>
    <t>PROGRAM PENGENDALIAN PENCEMARAN DAN PERUSAKAN LINGKUNGAN HIDUP</t>
  </si>
  <si>
    <t>PERSENTASE PENGENDALIAN PENCEMARAN DAN PERUSAKAN LINGKUNGAN HIDUP</t>
  </si>
  <si>
    <t>Operasional IPLT</t>
  </si>
  <si>
    <t>Perencanaan TPS 3R</t>
  </si>
  <si>
    <t>dokumen Perencanaan TPS 3R</t>
  </si>
  <si>
    <t>Batal ( realisasi ATK saja )</t>
  </si>
  <si>
    <t>UKL/UPL TPS 3R</t>
  </si>
  <si>
    <t>Dokumen UKL/UPL TPS 3R</t>
  </si>
  <si>
    <t>PROGRAM PENGEMBANGAN PARIWISATA</t>
  </si>
  <si>
    <t>PERSENTASE  PENGEMBANGAN PARIWISATA</t>
  </si>
  <si>
    <t>Pelaksanaan Promosi Wisata</t>
  </si>
  <si>
    <t>promosi wisata</t>
  </si>
  <si>
    <t>Pengadaan Tenda Promosi Wisata</t>
  </si>
  <si>
    <t>pengadaan tenda</t>
  </si>
  <si>
    <t>Pemeliharaan pentas dan Tenda promosi wisata</t>
  </si>
  <si>
    <t>pemeliharaan tenda</t>
  </si>
  <si>
    <t>PROGRAM PENGENDALIAN PENCEMARAN LINGKUNGAN</t>
  </si>
  <si>
    <t>PERSENTASE PENGENDALIAN PENCEMARAN LINGKUNGAN</t>
  </si>
  <si>
    <t xml:space="preserve">Penyusunan Dokumen Lingkungan </t>
  </si>
  <si>
    <t>Dokumen lingkungan</t>
  </si>
  <si>
    <t>Meningkatnya kinerja pengelolaan persampahan (paket)</t>
  </si>
  <si>
    <t>Operasioanal Tempat pembuangan Akhir</t>
  </si>
  <si>
    <t>Persentase Operasioanal TPA</t>
  </si>
  <si>
    <t>Operasional Kebersihan dan persampahan</t>
  </si>
  <si>
    <t>Persentase Operasioanal Kebersihan</t>
  </si>
  <si>
    <t>Pemeliharaan Rutin dan Operasional Kendaraan Kebersihan</t>
  </si>
  <si>
    <t>Pemeliharaan Kendaraan Kebersihan</t>
  </si>
  <si>
    <t>Rehab sarana dan Prasarana TPA</t>
  </si>
  <si>
    <t>Rehab TPA</t>
  </si>
  <si>
    <t>Faktor pendorong keberhasilan kinerja:</t>
  </si>
  <si>
    <t xml:space="preserve">Faktor penghambat pencapaian kinerja: </t>
  </si>
  <si>
    <t>Hal ini disebabkan kegiatan dinas PUTR belum terlaksana secara keseluruhan untuk triwulan I</t>
  </si>
  <si>
    <t xml:space="preserve">Tindak lanjut yang diperlukan dalam triwulan berikutnya: </t>
  </si>
  <si>
    <t>Tindak lanjut yang diperlukan dalam Renja Perangkat Daerah Kabupaten/Kota berikutnya:</t>
  </si>
  <si>
    <t xml:space="preserve">Meningkatnya Pelayanan Administrasi perkantoran </t>
  </si>
  <si>
    <t>.01</t>
  </si>
  <si>
    <t>Terlaksananya administrasi pelayanan perkantoran</t>
  </si>
  <si>
    <t>DPMP2TSP</t>
  </si>
  <si>
    <t>Rekening listrik air, telpon</t>
  </si>
  <si>
    <t>82.24 %</t>
  </si>
  <si>
    <t>16.02 %</t>
  </si>
  <si>
    <t>.07</t>
  </si>
  <si>
    <t>Honor KPA,PPTK,PPK Bend dsb</t>
  </si>
  <si>
    <t>.08</t>
  </si>
  <si>
    <t>Sapu, kain pel pembersih, bak sampah</t>
  </si>
  <si>
    <t>.09</t>
  </si>
  <si>
    <t>service komputer printer, laktop</t>
  </si>
  <si>
    <t>99.81 %</t>
  </si>
  <si>
    <t>.10</t>
  </si>
  <si>
    <t>Buku pena tinta, kertas</t>
  </si>
  <si>
    <t>.11</t>
  </si>
  <si>
    <t>cetak sppd, kwitansi, rka, renja, laporan keu</t>
  </si>
  <si>
    <t>99.83%</t>
  </si>
  <si>
    <t>.12</t>
  </si>
  <si>
    <t>lampu , kabel, stokkontak, saklar</t>
  </si>
  <si>
    <t>komputer, printer, spingjer</t>
  </si>
  <si>
    <t>koran, buku</t>
  </si>
  <si>
    <t>90.45%</t>
  </si>
  <si>
    <t>.17</t>
  </si>
  <si>
    <t>makan rapat, tamu</t>
  </si>
  <si>
    <t>99.36 %</t>
  </si>
  <si>
    <t>1.53 %</t>
  </si>
  <si>
    <t>.18</t>
  </si>
  <si>
    <t>rapat ke propinsi dan luar propinsi</t>
  </si>
  <si>
    <t>99.23%</t>
  </si>
  <si>
    <t>.20</t>
  </si>
  <si>
    <t>survei, peninjauan lapangan</t>
  </si>
  <si>
    <t>94.86%</t>
  </si>
  <si>
    <t>.27</t>
  </si>
  <si>
    <t>Penyedian jasa tenaga kerja non PNS</t>
  </si>
  <si>
    <t>Honor tenaga kontrak</t>
  </si>
  <si>
    <t>.22</t>
  </si>
  <si>
    <t>cetak RKA, RENSTRA, LKPJ, RKPD, dan laporan lainnya</t>
  </si>
  <si>
    <t>Meningkatnya sumber daya aparatur</t>
  </si>
  <si>
    <t>Bintek keu dan anggaran Renstra</t>
  </si>
  <si>
    <t>Meningkatnya Sarana dan Prasarana Aparatur</t>
  </si>
  <si>
    <t>96.71 %</t>
  </si>
  <si>
    <t>1.80 %</t>
  </si>
  <si>
    <t>Pemeliharaan rutin/berkala gedung kantor</t>
  </si>
  <si>
    <t>pemeliharaan rutin</t>
  </si>
  <si>
    <t>99.76%</t>
  </si>
  <si>
    <t>Pengadaan Kendaraan dinas/operasional</t>
  </si>
  <si>
    <t>Pengadaan kendaraan dinas</t>
  </si>
  <si>
    <t>Terlaksananya rehab gedung kantor</t>
  </si>
  <si>
    <t>Terlaksananya pemeliharaan rutin kendaraan dinas</t>
  </si>
  <si>
    <t>Meningkatnya Promosi dan Kerjasama Investasi</t>
  </si>
  <si>
    <t>PROG. PENINGKATAN PROMOSI DAN KERJASAMA INVESTASI</t>
  </si>
  <si>
    <t>Promosi Investasi di Dalam Negeri</t>
  </si>
  <si>
    <t xml:space="preserve"> Pameran Promosi Daerah Kabupaten Pesisir Selatan</t>
  </si>
  <si>
    <t>99.53 %</t>
  </si>
  <si>
    <t>26.09 %</t>
  </si>
  <si>
    <t>Pelayanan kerjasama Investasi</t>
  </si>
  <si>
    <t>Tersedianya Dokumen MOU antara investor dengan Pemerintahan daerah</t>
  </si>
  <si>
    <t>99.91 %</t>
  </si>
  <si>
    <t>22.06 %</t>
  </si>
  <si>
    <t>Meningkatnya Iklim Investasi dan Realisasi Investasi</t>
  </si>
  <si>
    <t>PROG. PENINGKATAN IKLIM INVESTASI DAN REALISASI INVESTASI</t>
  </si>
  <si>
    <t>10.02 %</t>
  </si>
  <si>
    <t>Pendataan Realisasi Investasi Non Fasilitas dan RT</t>
  </si>
  <si>
    <t>Tersedianya dokumen data investasi non fasilitasi rumah tangga</t>
  </si>
  <si>
    <t>98.90 %</t>
  </si>
  <si>
    <t>Pelayanan Penanaman Modal</t>
  </si>
  <si>
    <t>Tercapainya pelaksanaan pelayanan perizinan penanaman modal pada investor</t>
  </si>
  <si>
    <t>91.09 %</t>
  </si>
  <si>
    <t>33.60 %</t>
  </si>
  <si>
    <t>2</t>
  </si>
  <si>
    <t>Pengembangan sistem informasi perizinan dan penanaman</t>
  </si>
  <si>
    <t>Terlaksananya sistem pelayananan perizinan secara online</t>
  </si>
  <si>
    <t>99.09 %</t>
  </si>
  <si>
    <t>Penyusunan buku data perkembangan investasi</t>
  </si>
  <si>
    <t>Tersedianya buku data investasi</t>
  </si>
  <si>
    <t>Penyusunan rencana umum penanaman modal</t>
  </si>
  <si>
    <t>Buku RUPM</t>
  </si>
  <si>
    <t>Pembuatan buku frofil investasi</t>
  </si>
  <si>
    <t xml:space="preserve"> buku frofil investasi</t>
  </si>
  <si>
    <t>Lokakarya penyusunan LKPM</t>
  </si>
  <si>
    <t xml:space="preserve"> lokakarya 40 orang peserta</t>
  </si>
  <si>
    <t>Koordinasi bidang penanaman modal</t>
  </si>
  <si>
    <t>Tercapainya koordinasi penanaman modal</t>
  </si>
  <si>
    <t>94.84 %</t>
  </si>
  <si>
    <t>6.87 %</t>
  </si>
  <si>
    <t>Pembinaan dan penyuluhan penanaman modal</t>
  </si>
  <si>
    <t>Terlaksannya pembinaan dan penyuluhan penanaman modal</t>
  </si>
  <si>
    <t>Pengawasan dan pengendalian penanaman modal</t>
  </si>
  <si>
    <t>Terlaksananya pengawasan dan pengendalian</t>
  </si>
  <si>
    <t>84.59 %</t>
  </si>
  <si>
    <t>Pemamfaatan Program Aplikasi SICANTIK</t>
  </si>
  <si>
    <t>Tersedianya Aplikasi si cantik</t>
  </si>
  <si>
    <t>Pembangunan sitem pelayanan prima</t>
  </si>
  <si>
    <t>Terlaksananya sistem pelayanan prima</t>
  </si>
  <si>
    <t>Meningkatnya Pelayanan Publik bidang perizinan</t>
  </si>
  <si>
    <t>PROG. PENINGKATAN PELAYANAN PUBLIK BIDANG PERIZINAN</t>
  </si>
  <si>
    <t>92.59 %</t>
  </si>
  <si>
    <t>0</t>
  </si>
  <si>
    <t>Operasional penyelenggaraan perizinan</t>
  </si>
  <si>
    <t xml:space="preserve"> izin yang diterbitkan</t>
  </si>
  <si>
    <t>Monitoring dan evaluasi pelayanan perizinan</t>
  </si>
  <si>
    <t>Terlaksananya pemberitahuan perpanjangan izin</t>
  </si>
  <si>
    <t>Sosialisasi Perbupnomo 29 tahun 2015 dan SOP perizinan</t>
  </si>
  <si>
    <t xml:space="preserve"> sosialisasi Perbup dan SOP</t>
  </si>
  <si>
    <t>Survey indek kepuasan masyarakat</t>
  </si>
  <si>
    <t xml:space="preserve"> Kuiisioner sebagai alat bantu pengumpulan data indeks kepuasan masyarakat</t>
  </si>
  <si>
    <t>15.39 %</t>
  </si>
  <si>
    <t>Penyusunan Naskah akademis tentang izin gangguan</t>
  </si>
  <si>
    <t>Tersedianya Naskah akademis</t>
  </si>
  <si>
    <t>Penyusunan Regulasi Penanaman Modal</t>
  </si>
  <si>
    <t>90.31 %</t>
  </si>
  <si>
    <t>Meningkatnya Daya Saing Penanaman Modal</t>
  </si>
  <si>
    <t>PROG. PENINGKATAN DAYA SAING PENANAMAN MODAL</t>
  </si>
  <si>
    <t>Publikasi perizinan penanaman modal</t>
  </si>
  <si>
    <t>Terlaksananya Publikasi perizinan penanaman modal</t>
  </si>
  <si>
    <t>Sosialisasi kebijakan penanaman modal</t>
  </si>
  <si>
    <t>Terlaksananya kebijakan penanaman modal</t>
  </si>
  <si>
    <t>Faktor pendorong keberhasilan kinerja: Perlu peningkatan SDM bagi pelaksanaan kegiatan</t>
  </si>
  <si>
    <t>Faktor penghambat pencapaian kinerja:  kegiatan pada DPMP2TSP belum terlaksana secara keseluruhan untuk Triwulan I</t>
  </si>
  <si>
    <t>Tindak lanjut yang diperlukan dalam triwulan berikutnya: Mengoptimalkan kegiatan yang belum terealiasi secara optimal</t>
  </si>
  <si>
    <t>Tindak lanjut yang diperlukan dalam RKPD berikutnya: Program kegiatan yang sesuai dengan tupoksi.</t>
  </si>
  <si>
    <t>DKUPP</t>
  </si>
  <si>
    <t>Meningkatkan peluang pasar produk unggula n daerah</t>
  </si>
  <si>
    <t>Meningkatkan perlindungan konsumen</t>
  </si>
  <si>
    <t>Program Perlindungan Konsumen dan Pengamanan Perdagangan</t>
  </si>
  <si>
    <t>Jumlah pasar rakyat memenuhi syarat pengelolaan SNI  8152:2015</t>
  </si>
  <si>
    <t>Koefesien variasi  harga bahan  kebutuhan pokok antarwaktu</t>
  </si>
  <si>
    <t>&lt; 9 %</t>
  </si>
  <si>
    <t>&lt;9%</t>
  </si>
  <si>
    <t>Meningkatkan pengawasan terhadap barang beredar</t>
  </si>
  <si>
    <t>Peningkatan pengawasan peredaran barang</t>
  </si>
  <si>
    <t xml:space="preserve">Jumlah kecamatan yang diawasi barang beredar </t>
  </si>
  <si>
    <t>Meningkatkan standarisasi alat UTTP</t>
  </si>
  <si>
    <t xml:space="preserve">Operasionalisasi dan perlengkapan UPTD Kemetrologian </t>
  </si>
  <si>
    <t>Terlaksana-nya persiapan pelayanan UPTD(bulan)</t>
  </si>
  <si>
    <t>Pendataan UTTP</t>
  </si>
  <si>
    <t>Data UTTP(dok)</t>
  </si>
  <si>
    <t>Pengawasan Kemetrologian</t>
  </si>
  <si>
    <t>Jumlah Kecamatan yang diawasi</t>
  </si>
  <si>
    <t>Pelaksanaan Tera/Tera Ulang Alat UTTP</t>
  </si>
  <si>
    <t xml:space="preserve">Jumlah kecamatan yng dilakukan  tera ulang </t>
  </si>
  <si>
    <t>Pembangunan Gedung UPTD Kemetrogian dan Labolatorium (Luncuran DAK 2015)</t>
  </si>
  <si>
    <t>Gedung Kemetrologian</t>
  </si>
  <si>
    <t>Pembangunan Gedung UPTD Kemetrogian dan Labolatorium (Penunjang dan Perencanaan  DAK 2015)</t>
  </si>
  <si>
    <t>operasional penunjang Gedung Kemetrologian (bulan)</t>
  </si>
  <si>
    <t>Pemantauan harga dan Operasi Pasar</t>
  </si>
  <si>
    <t>Jumlah Kecamatan yang dilaksana-kan pemantauan harga barang (kecamatan)</t>
  </si>
  <si>
    <t>Jumlah papan display informasi harga</t>
  </si>
  <si>
    <t>Pembuatan Database Perdagangan</t>
  </si>
  <si>
    <t>Database perdagangan(dok)</t>
  </si>
  <si>
    <t>Meningkatkan infrastruktur pasar rakyat</t>
  </si>
  <si>
    <t>Program Peningkatan Efiseiensi Perdagangan Dalam Negeri</t>
  </si>
  <si>
    <t>Jumlah pasar rakyat memenuhi syarat teknis SNI  8152:2015</t>
  </si>
  <si>
    <t>Peningkatan sistem dan Jaringan Informasi Perdagangan</t>
  </si>
  <si>
    <t>Jumlah Promosi Produk Unggulan Daerah(paket)</t>
  </si>
  <si>
    <t>Meningkatkan pembinaan dan pengawasan pengelolan pasar</t>
  </si>
  <si>
    <t>Pelayanan Administrasi Penerimaan/ Tagihan dan pengelolaan Pasar</t>
  </si>
  <si>
    <t>Data Realisasi PAD Pasar</t>
  </si>
  <si>
    <t>Pengamanan dan Pengelolaan Pasar</t>
  </si>
  <si>
    <t>Realissasi PAD Retribusi Pasar</t>
  </si>
  <si>
    <t>Terlaksananya pembangunan/revitalisasi pasar rakyat</t>
  </si>
  <si>
    <t>Peningkatan Pasar Nagari dalam Kabupaten Pesisir Selatan</t>
  </si>
  <si>
    <t>Pasar Nagari yang terbangun / direvitalisa-si</t>
  </si>
  <si>
    <t>Pemeliharaan rutin/ berkala bangunan Pasar Kab. Pesisir Selatan</t>
  </si>
  <si>
    <t>Jumlah bangunan Pasar yang direhap</t>
  </si>
  <si>
    <t>Revitalisasi pasar hilalang kecamatan pancung soal (Alokasi dana bantuan keuangan yang bersifat khusus propinsi TA 2016)</t>
  </si>
  <si>
    <t>Revitalisasi pasar balai jumat lagan  kecamatan LSB (Alokasi dana bantuan keuangan yang bersifat khusus propinsi TA 2016)</t>
  </si>
  <si>
    <t>Pembangunan Pasar dalam Kab. Pesisir Selatan</t>
  </si>
  <si>
    <t>Jumlah Pasar Rakyat yang dibangun/ direvitalisa-si</t>
  </si>
  <si>
    <t>Rehab Pasar Asam Kumbang Kecamatan IV Nagar Bayang Utara (Bantuan Keuangan yang bersifat Khusus Propinsi TA 2017)</t>
  </si>
  <si>
    <t>Jumlah Pasar yang direvitalisasi</t>
  </si>
  <si>
    <t>Penunjang Percepatan Pembangunan Pasar dalam Kab. Pesisir Selatan</t>
  </si>
  <si>
    <t>Penunjang Operasional Percepatan Pembangu-nan Pasar Kabupaten</t>
  </si>
  <si>
    <t>Pembuatan buku Profil Pasar Kab. Pesisir Selatan</t>
  </si>
  <si>
    <t>Data profil Pasar  (dok)</t>
  </si>
  <si>
    <t>Pembangunan Pasar Kabupaten (DAK)</t>
  </si>
  <si>
    <t>Jumlah Pasar Rakyat yang dibangun</t>
  </si>
  <si>
    <t>Pembangunan Pasar Kabupaten (Penunjang DAK)</t>
  </si>
  <si>
    <t>tersediannya biaya operasional</t>
  </si>
  <si>
    <t>Meningkatkan pengembangan produk IKM</t>
  </si>
  <si>
    <t>Program Pengembangan Industri Kecil dan Menengah</t>
  </si>
  <si>
    <t>Jumlah fasilitasi  legalitas produk IKM</t>
  </si>
  <si>
    <t>Meningkatkan fasilitasi permodalan dengan lembaga keuangan, BUMN, BUMD dan swasta</t>
  </si>
  <si>
    <t>Fasilitasi kerjasama kemitraan industri mikro, kecil dan menengah dengan swasta</t>
  </si>
  <si>
    <t>jumlah IKM yang mengikuti sosialisasi  kemitraan dengan BUMN, BUMD/swasta</t>
  </si>
  <si>
    <t>Meningkatkan pembinaan dan pengawasan IKM</t>
  </si>
  <si>
    <t>Pemutakhiran Data IKM</t>
  </si>
  <si>
    <t>Data IKM (dok)</t>
  </si>
  <si>
    <t>Meningkatkan pembinaan dan pengawasan kepada kelompok  IKM</t>
  </si>
  <si>
    <t>Penunjang Operasional Dekranasda dan Pembinaan IKM</t>
  </si>
  <si>
    <t>Jumlah Promosi Produk unggulan daerah</t>
  </si>
  <si>
    <t>Meningkatkan ketersediaan infrastruktur kelompok IKM</t>
  </si>
  <si>
    <t>Penyusunan Rencana Pembangunan Industri Kabupaten (REPIK)</t>
  </si>
  <si>
    <t>Perda REPIK (dok)</t>
  </si>
  <si>
    <t>Meningkatkan sumber daya IKM</t>
  </si>
  <si>
    <t>Fasilitasi IKM terhadap Pemanfaatan sumber daya</t>
  </si>
  <si>
    <t>Fasilitasi pengurusan sertifikasi produk IKM (IKM)</t>
  </si>
  <si>
    <t>Pengembangan Sentra Industri Kecil Menengah</t>
  </si>
  <si>
    <t xml:space="preserve">Jumlah IKM yang dilatih </t>
  </si>
  <si>
    <t>Program Peningkatan Kemampuan Teknologi Industri</t>
  </si>
  <si>
    <t>Jumlah peningkatan IKM menggunakan teknologi tepat guna</t>
  </si>
  <si>
    <t>Pembinaan kemampuan teknologi industri kepada IKM</t>
  </si>
  <si>
    <t>Jumlah IKM  yang dibina dan dilatih</t>
  </si>
  <si>
    <t>Pembinaan dan Pelathan Industri Pangan Ungggulan</t>
  </si>
  <si>
    <t>Meningkatkan pengembangan potensi sentra IKM</t>
  </si>
  <si>
    <t>Program Pengembangan Sentra-sentra Industri Potensial</t>
  </si>
  <si>
    <t>Jumlah kelembagaan sentra IKM</t>
  </si>
  <si>
    <t>Penumbuhan dan Penataan Sentra-sentra Industri Unggulan</t>
  </si>
  <si>
    <t>Jumlah IKM sentra yang dibina dan dilatih</t>
  </si>
  <si>
    <t>Pembangunan Sentra IKM (DAK) 2018</t>
  </si>
  <si>
    <t>Jumlah sarana sentra  IKM yang dibangun</t>
  </si>
  <si>
    <t>Pembangunan Gedung Sentra IKM (Penunjang DAK)</t>
  </si>
  <si>
    <t>Penunjang Operasional Pembangun-an Sentra IKM</t>
  </si>
  <si>
    <t>Program Peningkatan Iklim Usaha Industri</t>
  </si>
  <si>
    <t>Jumlah IKM yang dibina</t>
  </si>
  <si>
    <t>Pembinaan dan Pengawasan Indutri Kecil dan Menengah</t>
  </si>
  <si>
    <t>Program Pelayanan Administrasi perkantoran</t>
  </si>
  <si>
    <t>Penyediaan Jasa Komonikasi, Sumber daya air dan listrik</t>
  </si>
  <si>
    <t>Tersediannyan Jasa Komonikasi, Sumber daya air dan listrik</t>
  </si>
  <si>
    <t xml:space="preserve">Penyediaan Jasa Administrasi Keuangan </t>
  </si>
  <si>
    <t xml:space="preserve">Tersedianya  Jasa Administrasi Keuangan </t>
  </si>
  <si>
    <t>Tersedianya  Jasa Kebersihan Kantor</t>
  </si>
  <si>
    <t>PenyediaanTersedianya</t>
  </si>
  <si>
    <t>Tersedianya Barang Cetakan dan Penggandaan</t>
  </si>
  <si>
    <t>Penyediaan Komponen, Instalasi Listrik/Penerangan bangunan kantor</t>
  </si>
  <si>
    <t>Tersedianya  Komponen, Instalasi Listrik/Penerangan bangunan kantor</t>
  </si>
  <si>
    <t>Tersedianya Bahan Bacaan dan Peraturan Perundang-undangan</t>
  </si>
  <si>
    <t>Tersedianya  Makanan dan Minuman rapat dan tamu</t>
  </si>
  <si>
    <t>Terfasilitasinya rapat rapat koordinasi dan konsultasi keluar daerah</t>
  </si>
  <si>
    <t>Terfasilitasinya rapat rapat koordinasi dan konsultasi dalam daerah</t>
  </si>
  <si>
    <t>Penunjang operasional perencanaan dan pelaporan</t>
  </si>
  <si>
    <t>Dokumen perencanaan dan pelaporan</t>
  </si>
  <si>
    <t>Program Peningkatan sarana dan prasarana aparatur</t>
  </si>
  <si>
    <t>Pengadaan peralatan gedung kantor</t>
  </si>
  <si>
    <t>Tersedianya peralatan gedung kantor</t>
  </si>
  <si>
    <t>Trsedianya Pemeliharaan rutin/berkala gedung kantor Persen)</t>
  </si>
  <si>
    <t>Pemeliharaan rutin/berkala Kendaraan dinas operasional</t>
  </si>
  <si>
    <t>Terlaksananya Pemeliharaan rutin/berkala Kendaraan dinas operasional</t>
  </si>
  <si>
    <t>Pemeliharaan rutin/berkala Perlengkapan gedung kantor</t>
  </si>
  <si>
    <t>Terlaksanya Pemeliharaan rutin/berkala Perlengkapan gedung kantor</t>
  </si>
  <si>
    <t>Persentase peningkatan SDM aparatur</t>
  </si>
  <si>
    <t>Menghasilan tenaga ASN yang berkualitas (orang)</t>
  </si>
  <si>
    <t>Penataan Administrasi Kependudukan</t>
  </si>
  <si>
    <t>Nilai Indeks Kepuasan Pelayanan Administrasi Kependudukan</t>
  </si>
  <si>
    <t>A</t>
  </si>
  <si>
    <t>C</t>
  </si>
  <si>
    <t>B</t>
  </si>
  <si>
    <t>Tersedianya Database Kependudukan Yang Valid, Akurat dan Mutakhir</t>
  </si>
  <si>
    <t>Pembangunan dan Pengoperasian SIAK Secara Terpadu</t>
  </si>
  <si>
    <t xml:space="preserve">Jumlah data yang dikonsolidasikan </t>
  </si>
  <si>
    <t>Disdukcapil</t>
  </si>
  <si>
    <t xml:space="preserve">Implementasi Sistem Administrasi Kependudukan </t>
  </si>
  <si>
    <t>Jumlah Data Anomali Yang Diperbaiki</t>
  </si>
  <si>
    <t>Jumlah Data Ganda Yang Dihapus</t>
  </si>
  <si>
    <t>Meningkatnya Ketertiban Kepemilikan Dokumen Kependudukan</t>
  </si>
  <si>
    <t>Penyediaan Informasi Yang Dapat Diakses Masyarakat</t>
  </si>
  <si>
    <t>Jumlah baliho dan spanduk kependudukan yang diedarkan</t>
  </si>
  <si>
    <t>Peningkatan Pelayanan Publik Dalam Bidang Kependudukan</t>
  </si>
  <si>
    <t>Jumlah pengurusan kutipan akta kelahiran 0-18 Thn</t>
  </si>
  <si>
    <t>Meningkatnya Kualitas Pelayanan Administrasi Kependudukan</t>
  </si>
  <si>
    <t>Peningkatan Kapasitas Aparat Kependudukan dan Catatan Sipil</t>
  </si>
  <si>
    <t>Jumlah SDM Pelayanan yang terampil</t>
  </si>
  <si>
    <t>Monitoring, Evaluasi dan Pelaporan</t>
  </si>
  <si>
    <t>Jumlah tindakan razia/penertiban yang dilakukan</t>
  </si>
  <si>
    <t>Jumlah SOP Pelayanan yang dimonitoring</t>
  </si>
  <si>
    <t>Pelayanan Kartu Identitas Anak (KIA)</t>
  </si>
  <si>
    <t>Jumlah pengurusan Kartu Identitas Anak (KIA)</t>
  </si>
  <si>
    <t>Pelayanan Dokumen Kependudukan</t>
  </si>
  <si>
    <t>Jumlah pengurusan Kartu Keluarga</t>
  </si>
  <si>
    <t>Jumlah Penerbitan Surat Keterangan Pindah Datang Penduduk</t>
  </si>
  <si>
    <t>Penerbitan NIK Nasional dan Penerapan e_KTP</t>
  </si>
  <si>
    <t>Jumlah perekaman KTP bagi Wajib KTP</t>
  </si>
  <si>
    <t>Pelaksanaan Pelayanan Unit Pendaftaran Penduduk dan Pencatatan Sipil Keliling (UP3SK)</t>
  </si>
  <si>
    <t>Jumlah titik kunjungan pelayanan mobil keliling</t>
  </si>
  <si>
    <t>Pengesahan Status Anak, Kewarganegaraan dan Kematian</t>
  </si>
  <si>
    <t>Jumlah Akta Kematian yang diterbitkan</t>
  </si>
  <si>
    <t>Pendataan dan Pelaporan Perkawinan Cerai</t>
  </si>
  <si>
    <t>Jumlah laporan perkawinan dan perceraian yang diterbitkan</t>
  </si>
  <si>
    <t>Pembangunan dan Pengelolaan Sistem Data Warehouse</t>
  </si>
  <si>
    <t>Jumlah registrasi pelayanan online</t>
  </si>
  <si>
    <t>Jumlah data warehouse kependudukan yang diakses lembaga pengguna</t>
  </si>
  <si>
    <t>Pengelolaan Arsip Administrasi Kependudukan Berbasis Digital</t>
  </si>
  <si>
    <t>Jumlah arsip Akta Kelahiran yang diarsipkan secara digital</t>
  </si>
  <si>
    <t>Pengembangan Sistem Administrasi Kependudukan (SAK) Terpadu (DAK Non Fisik)</t>
  </si>
  <si>
    <t>Jumlah blanko dokumen kependudukan yang diadakan</t>
  </si>
  <si>
    <t>Pelayanan Administrasi Kependudukan di Satker</t>
  </si>
  <si>
    <t>Jumlah UKL yang dibentuk</t>
  </si>
  <si>
    <t>Jumlah Register Nagari dan Kampung yang diangkat</t>
  </si>
  <si>
    <t>Persentase peningkatan pelayanan perkantoran</t>
  </si>
  <si>
    <t xml:space="preserve">Terbayarnya tagihan jaringan komunikasi, listrik dan PDAM </t>
  </si>
  <si>
    <t>Terbayarnya honorium pengelola kegiatan</t>
  </si>
  <si>
    <t>Jenis peralatan dan bahan kebersihan yang tersedia</t>
  </si>
  <si>
    <t>Jumlah peralatan dan perlengkapan kantor yang diperbaiki</t>
  </si>
  <si>
    <t>Jumlah alat tulis kantor yang tersedia</t>
  </si>
  <si>
    <t>Jumlah barang cetakan dan penggandaan kantor</t>
  </si>
  <si>
    <t>Jumlah komponen penerangan gedung kantor</t>
  </si>
  <si>
    <t>Jumlah peralatan dan perlengkapan kantor yang baru</t>
  </si>
  <si>
    <t>Penyediaan Bahan Bacaan dan Peraturan Perundang - Undangan</t>
  </si>
  <si>
    <t>Jumlah bahan bacaan surat kabar/majalah yang tersedia</t>
  </si>
  <si>
    <t>Tersedianya makanan dan minuman rapat/tamu</t>
  </si>
  <si>
    <t>Rapat - Rapat Koordinasi dan Konsultasi Keluar Daerah</t>
  </si>
  <si>
    <t>Jumlah rapat - rapat koordinasi keluar daerah yang diikuti</t>
  </si>
  <si>
    <t>Rapat - Rapat Koordinasi dan Konsultasi Dalam Daerah</t>
  </si>
  <si>
    <t>Jumlah rapat - rapat koordinasi dalam daerah yang diikuti</t>
  </si>
  <si>
    <t>Jumlah Sarana dan Prasarana Kantor Yang Kondusif</t>
  </si>
  <si>
    <t>Jumlah perbaikan gedung kantor yang dilaksanakan</t>
  </si>
  <si>
    <t>Jumlah kendaraan dinas/operasional yang dipelihara</t>
  </si>
  <si>
    <t>Jumlah Dokumen Perencanaan dan Pelaporan yang disusun</t>
  </si>
  <si>
    <t>Penyusunan Perencanaan dan Pelaporan Capaian Kinerja</t>
  </si>
  <si>
    <t>Jumlah dokumen perencanaan dan pelaporan yang diterbitkan</t>
  </si>
  <si>
    <t>Anggaran yang mencukupi, SDM yang handal, peralatan kerja yang cukup</t>
  </si>
  <si>
    <t>Jaringan SIAK yang sering mengalami gangguan, Kesadaran masyarakat akan pentingnya kepemilikan dokumen kependudukan yang masih rendah</t>
  </si>
  <si>
    <t>Tindak Lanjut yang diperlukan dalam triwulan berikutnya *):  pelayanan keliling administrasi kependudukan perlu ditingkatkan terutama di daerah terpencil</t>
  </si>
  <si>
    <t>Dinas Kesehatan</t>
  </si>
  <si>
    <t>Kebutuhan Air, Listrik dan jasa komunikasi (%)</t>
  </si>
  <si>
    <t>Penyediaan Jasa Pemeliharaan  dan Perizinan Kendaraan</t>
  </si>
  <si>
    <t>Kebutuhan Jasa Pemeliharaan dan perizinan Kendaraan (%)</t>
  </si>
  <si>
    <t>Kebutuhan Jasa Administrasi Keuangan (%)</t>
  </si>
  <si>
    <t>kebutuhan jasa Kebersihan kantor (%)</t>
  </si>
  <si>
    <t>Kebutuhan Jasa Perbaikan Peralatan Kerja (%)</t>
  </si>
  <si>
    <t>Penyediaan barang cetakan dan pengg andaan (%)</t>
  </si>
  <si>
    <t>Komponen Penerangan Kantor (%)</t>
  </si>
  <si>
    <t xml:space="preserve">Jumlah Pembayaran langganan koran </t>
  </si>
  <si>
    <t>Jumlah rapat Dinkes yang dilaksanakan dan makan minum tamu Dinkes dan Puskesmas</t>
  </si>
  <si>
    <t>Persentase Perjalanan dinas ke luar daerah</t>
  </si>
  <si>
    <t>Penyediaan Jasa pengamanan kantor</t>
  </si>
  <si>
    <t xml:space="preserve">Jumlah pembayaran honor satpam </t>
  </si>
  <si>
    <t>Persentase perjalanan dinas dalam daerah</t>
  </si>
  <si>
    <t>Pembinaan dan Pengelolaan Aset</t>
  </si>
  <si>
    <t>Monev aset Puskesmas</t>
  </si>
  <si>
    <t xml:space="preserve">Tersedianya Renstra, LKPJ, LPPD, DPA dan DPPA </t>
  </si>
  <si>
    <t>Meningkatkan kualitas pelayanan bagi masyarakat</t>
  </si>
  <si>
    <t>Persentase sarana aparatur berkondisi baik</t>
  </si>
  <si>
    <t>Pemeliharaan Rutin/Berkala Gedung kantor</t>
  </si>
  <si>
    <t>Persentase pemeliharaan Gedung Dinkes</t>
  </si>
  <si>
    <t>Dinkes</t>
  </si>
  <si>
    <t>Jumlah SDM Kesehatan yang mengikuti pelatihan formal</t>
  </si>
  <si>
    <t>Penunjang Operasional Peningkatan Kapasitas Sumber Daya Aparatur Kesehatan (Pajak Rokok)</t>
  </si>
  <si>
    <t>Jumlah SDMK Puskesmas dan RS yang memahami tentang registrasi dan perizinan</t>
  </si>
  <si>
    <t>Program Obat dan Perbekalan Kesehatan</t>
  </si>
  <si>
    <t>Persentase Terpenuhi kebutuhan obat- obatan pelayanan kesehatan dasar</t>
  </si>
  <si>
    <t>Pengadaaan obat dan perbekalan kesehatan (DAK dan Pendamping)</t>
  </si>
  <si>
    <t>Jumlah Paket obat dan Perbekalan Kesehatan yang diadakan</t>
  </si>
  <si>
    <t>Peningkatan pemerataan obat dan perbekalan kesehatan</t>
  </si>
  <si>
    <t>Persentase obat dan Perbekalan kesehatan di Puskesmas</t>
  </si>
  <si>
    <t>Pengadaaan obat dan perbekalan kesehatan (DAK dan Pendamping) (penunjang DAK)</t>
  </si>
  <si>
    <t>Lancarnya Pengadaan obat dan perbekalan kesehatan</t>
  </si>
  <si>
    <t>Peningkatan pengawasan keamanan pangan dan bahan berbahaya</t>
  </si>
  <si>
    <t>Jumlah PIRT, Toko Obat dan Apotik yang diawasi dan dibina</t>
  </si>
  <si>
    <t>Meningkatnya kualitas pelayanan bagi masyarakat</t>
  </si>
  <si>
    <t>Program Upaya Kesehatan Masyarakat</t>
  </si>
  <si>
    <t>Visite Rate</t>
  </si>
  <si>
    <t>Pemeliharaan dan pemulihan kesehatan</t>
  </si>
  <si>
    <t>Persentase keluarga Kelompok Resiko tinggi (Resti) yang terlayani di Puskesmas dan jaringannya termasuk pada daerah terpencil</t>
  </si>
  <si>
    <t>Peningkatan Kesehatan Masyarakat</t>
  </si>
  <si>
    <t>Jumlah fasyankes dan jaringannya yang melayani kesehatan masyarakat perorangan, termasuk posko-posko kesehatan dalam rangka hari raya dan even-even daerah</t>
  </si>
  <si>
    <t>Pembinaan upaya kesehatan dasar masyarakat (Bantuan Operasional Kesehatan (BOK)</t>
  </si>
  <si>
    <t xml:space="preserve">Terlaksananya pelayanan kesehatan pada masyarakat. </t>
  </si>
  <si>
    <t>Pelayanan Kesehatan Rujukan di Sarana Pelayanan Kesehatan</t>
  </si>
  <si>
    <t>Tersedianya Pelayanan Kesehatan Rujukan di sarana Pelayanan Kesehatan</t>
  </si>
  <si>
    <t>Pelayanan Kesehatan pada Pengobatan Tradisional (BATRA)</t>
  </si>
  <si>
    <t>Jumlah penyehat tradisional yang dipantau dalam pelayanan kesehatan</t>
  </si>
  <si>
    <t>Meningkatnya peran serta masyarakat untuk hidup sehat</t>
  </si>
  <si>
    <t>Program Promosi Kesehatan dan pemberdayaan masyarakat</t>
  </si>
  <si>
    <t xml:space="preserve">Persentase Nagari Siaga Aktif </t>
  </si>
  <si>
    <t>Pengembangan media promosi dan informasi sadar hidup sehat (DBH Pajak Rokok TA. 2015)</t>
  </si>
  <si>
    <t>Persentase ketersediaan media promosi</t>
  </si>
  <si>
    <t>Usaha kesehatan institusi dan peran serta masyarakat</t>
  </si>
  <si>
    <t>Jumlah Posyandu Mandiri</t>
  </si>
  <si>
    <t>Pembinaan dan Pembentukan Nagari Siaga</t>
  </si>
  <si>
    <t>- Jumlah Nagari Siaga Aktif yang dibina</t>
  </si>
  <si>
    <t>- Jumlah Sertifikasi Nagari Siaga Aktif mandiri</t>
  </si>
  <si>
    <t>Pengembangan Sistem Informasi Kesehatan Kabupaten</t>
  </si>
  <si>
    <t>terpenuhinya data dan profil kesehatan dan program SIKDA dan komunikasi data kesehatan</t>
  </si>
  <si>
    <t>Meningkatnya kesehatan keluarga</t>
  </si>
  <si>
    <t>Program Perbaikan Gizi Masyarakat</t>
  </si>
  <si>
    <t>Persentase balita gizi buruk yang mendapat perawatan</t>
  </si>
  <si>
    <t>359.590.25</t>
  </si>
  <si>
    <t>pemberian tambahan makanan dan vitamin</t>
  </si>
  <si>
    <t>Persentase pemberian makanan tambahan bagi balita kurang gizi dan ibu hamil Kurang Energi Koronis (KEK)</t>
  </si>
  <si>
    <t>Pemantauan status gizi masyarakat</t>
  </si>
  <si>
    <t>Persentase balita Gizi buruk</t>
  </si>
  <si>
    <t>Pembinaan dan monitoring program gizi masyarakat</t>
  </si>
  <si>
    <t>Jumlah Puskesmas yang dilakukan monev gizi</t>
  </si>
  <si>
    <t>Program Pengembangan Lingkungan Sehat</t>
  </si>
  <si>
    <t>Jumlah Nagari ODF (Open Defication Free)</t>
  </si>
  <si>
    <t>624.048.45</t>
  </si>
  <si>
    <t>Pengkajian pengembangan lingkungan sehat</t>
  </si>
  <si>
    <t>Jumlah pengawasan, pembinaan, Sanitasi dasar, TTU dan TPM</t>
  </si>
  <si>
    <t>Pendamping PAMSIMAS</t>
  </si>
  <si>
    <t>Jumlah Pelatihan Sanitasi Total Berbasis Masyarakat</t>
  </si>
  <si>
    <t>Penunjang Program Percepatan Pembangunan Sanitasi Pemukiman (PPSP)</t>
  </si>
  <si>
    <t>- Jumlah Rumah Sehat yang dipantau dan dibina</t>
  </si>
  <si>
    <t>- Jumlah pertemuan Petugas Sanitasi Limbah Medis Puskesmas</t>
  </si>
  <si>
    <t>Pengelolaan dan pengembangan pemeriksaan sanitasi dasar masyarakat</t>
  </si>
  <si>
    <t>- Jumlah Depot yang diperiksa</t>
  </si>
  <si>
    <t>- Jumlah Pelatihan Hygiene Sanitasi pengelolaan DAM</t>
  </si>
  <si>
    <t>Pelaksanaan Forum Kecamatan dan Kabupaten Sehat dan Kabupaten Sehat</t>
  </si>
  <si>
    <t>Jumlah Forum Kabupaten Sehat dan Kelompok Kerja Nagari yang dibina</t>
  </si>
  <si>
    <t>Pelayanan Kesehatan Kerja</t>
  </si>
  <si>
    <t>Jumlah Kelompok UKK yang dibina</t>
  </si>
  <si>
    <t>Pelayanan Kesehatan Olah Raga</t>
  </si>
  <si>
    <t>Jumlah Pertemuan Kesehatan Olah raga</t>
  </si>
  <si>
    <t>Program Pencegahan dan Penanggulangan Penyakit Menular</t>
  </si>
  <si>
    <t>Succes Rate TB</t>
  </si>
  <si>
    <t>Penyemprotan/fogging sarang nyamuk</t>
  </si>
  <si>
    <t xml:space="preserve">terlaksananya fogging focus </t>
  </si>
  <si>
    <t>Pelayanan pencegahan dan penanggulangan penyakit menular</t>
  </si>
  <si>
    <t xml:space="preserve">tercegah dan tertanggulanginya penyakit menular pada masyarakat </t>
  </si>
  <si>
    <t>Pencegahan penularan penyakit endemik/epidemik</t>
  </si>
  <si>
    <t xml:space="preserve">terlaksananya surveilens aktif dan pengawasan filariasis </t>
  </si>
  <si>
    <t>Peningkatan Imunisasi</t>
  </si>
  <si>
    <t>Peningkatan surveillance epideminologi dan penaggulangan wabah</t>
  </si>
  <si>
    <t xml:space="preserve">surveillans epidemiologi penyakit menular &amp; penanggulangan wabah di masyarakat </t>
  </si>
  <si>
    <t>Pemantauan &amp; Penanggulangan Masalah Kesehatan Akibat Bencana/KLB</t>
  </si>
  <si>
    <t>terpantaunya jumlah kasus penyakit sebelum, saat terjadi KLB/Bencana dan pasca KLB/Bencana</t>
  </si>
  <si>
    <t xml:space="preserve">Sistem Kewaspadaan dini KLB / Wabah / Bencana </t>
  </si>
  <si>
    <t xml:space="preserve">- Persentase Sinyal kewaspadaan dini yang direspon                                 '- Persentase Kelengkapan dan ketepatan laporan W2 SKDR </t>
  </si>
  <si>
    <t>Program Standarisasi Pelayanan Kesehatan</t>
  </si>
  <si>
    <t>Meningkatnya kualitas pelayanan Kesehatan</t>
  </si>
  <si>
    <t>523.019.85</t>
  </si>
  <si>
    <t>Akreditasi, registrasi dan sertifikasi kesehatan</t>
  </si>
  <si>
    <t>meningkatnya kualitas pelayanan kesehatan dan honorarium penunjang pelaksana kegiatan</t>
  </si>
  <si>
    <t>Pembinaan dan Evaluasi Monitoring dr/drg/bidan PTT</t>
  </si>
  <si>
    <t xml:space="preserve">meningkatnya kopetensi tenaga kesehatan </t>
  </si>
  <si>
    <t>Upaya peningkatan kinerja petugas dan institusi kesehatan</t>
  </si>
  <si>
    <t>kualitas kinerja pelayanan kesehatan masyarakat dan administrasi pelayanan kesehatan masyarakat</t>
  </si>
  <si>
    <t>Pengelolaan dan pembinaan tenaga fungsional</t>
  </si>
  <si>
    <t xml:space="preserve">meningkatnya kinerja fungsional tenaga kesehatan di puskesmas </t>
  </si>
  <si>
    <t>Akreditasi, Registrasi dan Sertifikasi Kesehatan (DAK non Fisik) Tahun 2016</t>
  </si>
  <si>
    <t>meningkatnya kualitas pelayanan kesehatan</t>
  </si>
  <si>
    <t>Program pengadaan, peningkatan dan perbaikan sarana dan prasarana puskesmas/ puskesmas pembantu dan jaringannya</t>
  </si>
  <si>
    <t>Persentase Puskesmas dan Pustu yang memiliki sarana prasarana sesuai standar</t>
  </si>
  <si>
    <t>Pengadaaan puskesmas keliling</t>
  </si>
  <si>
    <t>Jumlah Pengadaan Puskesmas keliling</t>
  </si>
  <si>
    <t>Pengadaaan sarana dan prasarana puskesmas (DAK dan Pendamping)</t>
  </si>
  <si>
    <t>Jumlah Puskesmas yang direhab</t>
  </si>
  <si>
    <t>Pemeliharaan rutin/berkala sarana dan prasarana puskesmas</t>
  </si>
  <si>
    <t>Jumlah Pemeliharaan dan rehabilitasi Sarana dan Prasarana Kesehatan</t>
  </si>
  <si>
    <t>Pembangunan sarana dan prasarana puskesmas dan jaringannya (Penunjang DAK)</t>
  </si>
  <si>
    <t>Pembangunan Sarana dan Prasarana Puskesmas dan jaringannya (luncuran)</t>
  </si>
  <si>
    <t>tersedianya sarana dan prasarana pelayanan kesehatan dalam rangka meningkatkan kualitas dan optimalisasi pelkes dan honorarium penunjang pelaksana kegiatan</t>
  </si>
  <si>
    <t>Pengadaan Alat Kesehatan Puskesmas (DAK)</t>
  </si>
  <si>
    <t>terpenuhinya kebutuhan pelayanan kesehatan masyarakat</t>
  </si>
  <si>
    <t>35</t>
  </si>
  <si>
    <t>Pengadaaan Instalasi Pengolahan Air Limbah (DAK)</t>
  </si>
  <si>
    <t>Program kemitraan peningkatan pelayanan kesehatan</t>
  </si>
  <si>
    <t>Persentase penduduk yang memiliki JKN</t>
  </si>
  <si>
    <t>Kemitraan asuransi kesehatan masyarakat</t>
  </si>
  <si>
    <t xml:space="preserve">terciptanya jaminan  pemeliharaan kesehatan masyarakat </t>
  </si>
  <si>
    <t>Pelayanan gratis di puskesmas dan jaringannya</t>
  </si>
  <si>
    <t xml:space="preserve">terjaminnya pemeliharaan kesehatan bagi masyarakat </t>
  </si>
  <si>
    <t>Pelayanan Kesehatan (Kapitasi) Jaminan Kesehatan Nasional (JKN) di Puskesmas</t>
  </si>
  <si>
    <t>Pelayanan Kesehatan (Non Kapitasi) Jaminan Kesehatan Nasional (JKN) di Puskesmas</t>
  </si>
  <si>
    <t>Meningkatnya Kesehatan Keluarga</t>
  </si>
  <si>
    <t>Program peningkatan pelayanan kesehatan lansia</t>
  </si>
  <si>
    <t>Persentase Lansia yang mendapat pelayanan kesehatan</t>
  </si>
  <si>
    <t>Pelayanan pemeliharaan kesehatan</t>
  </si>
  <si>
    <t>Program peningkatan keselamatan ibu melahirkan dan anak</t>
  </si>
  <si>
    <t>Angka Kematian Ibu dan Angka Kematian Bayi</t>
  </si>
  <si>
    <t>Usaha Kesehatan Ibu dan Anak</t>
  </si>
  <si>
    <t>Persentase Pelayanan Kesehatan pada Ibu dan Anak</t>
  </si>
  <si>
    <t>Pelayanan kesehatan anak prasekolah dan usia sekolah (Prasekdam Usek)</t>
  </si>
  <si>
    <t>Jumlah Pelayanan Kesehatan Kelompok Anak Sekolah UKS dan UKGS dan Peduli remaja (PKPR) Kekerasan Terhadap Anak</t>
  </si>
  <si>
    <t>Usaha Kesehatan Ibu dan Anak (Jaminan Persalinan) DAK Non Fisik</t>
  </si>
  <si>
    <t xml:space="preserve">menurunnya angka kematian ibu maternal dan bayi serta anak balita melalui peningkatan upaya kesehatan ibu dan anak </t>
  </si>
  <si>
    <t>33</t>
  </si>
  <si>
    <t>Program Pencegahan dan Penanggulangan Penyakit Tidak Menular</t>
  </si>
  <si>
    <t>Persentase Nagari dengan Posbindu PTM</t>
  </si>
  <si>
    <t>Pengendalian dan Pencegahan Penyakit Tidak Menular (PTM) (DBH Pajak Rokok TA. 2015)</t>
  </si>
  <si>
    <t>Jumlah pencegahan dan pengendalian Penyakit tidak menular</t>
  </si>
  <si>
    <t>Pemantauan dan Penanggulangan Masalah Kesehatan Matra</t>
  </si>
  <si>
    <t>Jumlah Puskesmas yang melaksanakan pelayanan kesehatan Matra</t>
  </si>
  <si>
    <t>Deteksi Dini dan Pengendalian Penyakit akibat Rokok (DBH Pajak Rokok)</t>
  </si>
  <si>
    <t>Terlaksananya deteksi dini dan Pengendalian akibat Rokok (DBH Pajak Rokok)</t>
  </si>
  <si>
    <t>Pelayanan Kesehatan Orang Dengan Gangguan Jiwa (ODGJ) Berat</t>
  </si>
  <si>
    <t>Jumlah ODGJ yang dilayani</t>
  </si>
  <si>
    <t>Program Peningkatan Sarana pelayanan Kesehatan Rumah Sakit</t>
  </si>
  <si>
    <t>Persentase Rujukan dari Pelayanan Primer ke Pelayanan Sekunder</t>
  </si>
  <si>
    <t>Biaya operasional RSU Pratama Tapan</t>
  </si>
  <si>
    <t>Rata-rata capaian kinerja (%)</t>
  </si>
  <si>
    <t>DISPARPORA</t>
  </si>
  <si>
    <t>Meningkatnya Pelayanan Kepegawaian</t>
  </si>
  <si>
    <t>Penyediaan Jasa Surat Menyurat</t>
  </si>
  <si>
    <t>Tersedianya jasa surat menyurat kantor (%)</t>
  </si>
  <si>
    <t>156,38</t>
  </si>
  <si>
    <t>Tersedianya pembayaran/honorarium tenaga administrasi keuangan   (%)</t>
  </si>
  <si>
    <t>191,89</t>
  </si>
  <si>
    <t>198,61</t>
  </si>
  <si>
    <t>Tersedianya jasa perbaikan peralatan kerja (%)</t>
  </si>
  <si>
    <t>199,77</t>
  </si>
  <si>
    <t>Tersedianya alat tulis kantor untuk operasional  (%)</t>
  </si>
  <si>
    <t>Tersedianya barang cetakan dan penggadaan pada  (%)</t>
  </si>
  <si>
    <t>Tersedianya komponen instalasi listrik bangunan kantor  (%)</t>
  </si>
  <si>
    <t>Tersedianya makanan dan minuman pada   (%)</t>
  </si>
  <si>
    <t>Terpeliharanya secara rutin/berkala Gedung Kantor (%)</t>
  </si>
  <si>
    <t>Pembangunan Tempat Parkir</t>
  </si>
  <si>
    <t>Terlaksananya Pembangunan Tempat Parkir (%)</t>
  </si>
  <si>
    <t>Meningkatnya Jumlah Wisatawan</t>
  </si>
  <si>
    <t>PROG. PENGEMBANGAN DESTINASI PARIWISATA</t>
  </si>
  <si>
    <t>Persentase Kunjungan Wisatawan</t>
  </si>
  <si>
    <t>Pemeliharaan rutin/berkala kawasan Objek wisata</t>
  </si>
  <si>
    <t>jumlah objek wisata yg dipelihara (%)</t>
  </si>
  <si>
    <t>Pengawasan dan Monitoring Obyek Wisata Se Kabupaten Pesisir Selatan</t>
  </si>
  <si>
    <t>% pengawasan dan monitoring objek wisata yang di laksanakan</t>
  </si>
  <si>
    <t>Pelaksanaan Pengelolaan Objek Wisata Pantai Carocok Painan</t>
  </si>
  <si>
    <t>% objek wisata pantai carocok yang terkelola</t>
  </si>
  <si>
    <t>Pembangunan Sarana dan prasarana obyek wisata (DAK)</t>
  </si>
  <si>
    <t>Sarana dan Prasarana Objek wisata (%)</t>
  </si>
  <si>
    <t>Pelaksanaan Pengelolaan Objek Wisata Mandeh</t>
  </si>
  <si>
    <t>% objek wisata Mandeh yang terkelola</t>
  </si>
  <si>
    <t>Pembuatan Perencanaan (DED dan RAB Obyek Wisata)</t>
  </si>
  <si>
    <t>Jumlah pembuatan DED dan RAB yang di buat setiap tahunnya (%)</t>
  </si>
  <si>
    <t>Program Pengembangan Pemasaran Pariwisata</t>
  </si>
  <si>
    <t>Berkembangnya pemasaran pariwisata</t>
  </si>
  <si>
    <t>Pelaksanaan Tour De Singkarak</t>
  </si>
  <si>
    <t>Terlaksananya Tour de singkarak (kali)</t>
  </si>
  <si>
    <t>Pelaksanaan Promosi Pariwisata</t>
  </si>
  <si>
    <t>Jenis promosi pariwisata yang dilakukan (%)</t>
  </si>
  <si>
    <t>Pembuatan Pusat Informasi Pariwisata</t>
  </si>
  <si>
    <t>% Jumlah Pusat informasi di kawasan mandeh</t>
  </si>
  <si>
    <t>Festifal pesona mandeh</t>
  </si>
  <si>
    <t>Terlaksananya festival mandeh (kali)</t>
  </si>
  <si>
    <t>Program Pengembangan Kemitraan</t>
  </si>
  <si>
    <t>Meningkatnya SDM pelaku wisata</t>
  </si>
  <si>
    <t>Pelaksanaan Famtrip</t>
  </si>
  <si>
    <t>Jumlah pelaksanaan famtrip yang dilaksanakan (%)</t>
  </si>
  <si>
    <t>Pelatihan dan sertifikasi pelaku wisata</t>
  </si>
  <si>
    <t>Jumlah Pelatihan dan sertifikasi pelaku wisata (kali)</t>
  </si>
  <si>
    <t>Program Pengembangan Ekonomi Kreatif</t>
  </si>
  <si>
    <t>Meningkatnya Pelaku ekonomi kreatif yang aktif</t>
  </si>
  <si>
    <t>Pemilihan Uda dan Uni Duta Wisata 2017</t>
  </si>
  <si>
    <t>Jumlah Uda-uni yang dipilih (%)</t>
  </si>
  <si>
    <t>Pembinaan Uda Uni Kab. Pessel</t>
  </si>
  <si>
    <t>Jumlah Pembinaan yang di laksanakan (%)</t>
  </si>
  <si>
    <t>Aktifasi Ekonomi Kreatif</t>
  </si>
  <si>
    <t>Jumlah aktivasi kelompok ekonomi kreatif (%)</t>
  </si>
  <si>
    <t>Pendataan dan Pembinaan Ekonomi Kreatif</t>
  </si>
  <si>
    <t>Jumlah pelaku ekonomi kreatif yang di data dan mendapat pembinaan (%)</t>
  </si>
  <si>
    <t>Partisipasi Ekonomi Kreatif</t>
  </si>
  <si>
    <t>Jumlah pelaku ekonomi kreatif yang berpartisipasi dalam iven-iven (%)</t>
  </si>
  <si>
    <t>Meningkatnya Organisasi Pemuda Tk. Kab. yang aktif</t>
  </si>
  <si>
    <t>Program Peningkatan Peran Serta Kepemudaan</t>
  </si>
  <si>
    <t>Persentase organisasi kepemudaan yang aktif</t>
  </si>
  <si>
    <t xml:space="preserve">Peringatan hari-hari Besar Nasional </t>
  </si>
  <si>
    <t>Terlaksananya peringatan hari-hari besar nasional (kali)</t>
  </si>
  <si>
    <t>Sosialisasi Bahaya Narkoba bagi Generasi Muda</t>
  </si>
  <si>
    <t>Terlaksannya Sosialisasi bahaya narkoba bagi generasi muda (%)</t>
  </si>
  <si>
    <t>Penyeleksian dan Pengiriman Anggota Paskibraka tingkat Provinsi dan Nasional</t>
  </si>
  <si>
    <t>Jumlah anggota paskibraka yang di seleksi ke tingkat provinsi dan Nasional (%)</t>
  </si>
  <si>
    <t>Penyeleksian Jambore Pemuda Indonesia (JPI)</t>
  </si>
  <si>
    <t>Jumlah anggota JPI yang diseleksi (%)</t>
  </si>
  <si>
    <t>Peringatan Sumpah Pemuda</t>
  </si>
  <si>
    <t>Terlaksananya peringatan sumpah pemuda (kali)</t>
  </si>
  <si>
    <t>Meningkatnya jumlah atlit berprestasi Tk. Prop dan Nasional</t>
  </si>
  <si>
    <t>Program pembinaan dan pemasyarakatan olahraga</t>
  </si>
  <si>
    <t xml:space="preserve">Terlaksananya kegiatan olahraga massal tingkat kabupaten </t>
  </si>
  <si>
    <t>Penyelenggaraan Open Tournamen Volly pantai Tingkat Nasional</t>
  </si>
  <si>
    <t>Terlaksananya open tournamen Volly pantai tingkat Nasional (kali)</t>
  </si>
  <si>
    <t>Penyelenggaraan Paralayang Internasional</t>
  </si>
  <si>
    <t>Terlaksananya paralayang internasional (kali)</t>
  </si>
  <si>
    <t>Olah Raga Massal (  Car Free Day )</t>
  </si>
  <si>
    <t>Jumlah olahraga massal yang dilaksankan (%)</t>
  </si>
  <si>
    <t>Aktivasi dan Bantuan Untuk club-club Olahraga</t>
  </si>
  <si>
    <t>Jumlah aktivasi dan bantuan untuk club-club olahraga yang dilakukan (%)</t>
  </si>
  <si>
    <t>6Club Olahrga</t>
  </si>
  <si>
    <t>Program pembinaan olahraga berprestasi</t>
  </si>
  <si>
    <t>Terlaksannya Pembinaan Olahraga Berprestasi</t>
  </si>
  <si>
    <t>Pengiriman atlit dan pemuda berprestasi</t>
  </si>
  <si>
    <t>Jumlah atlit dan pemuda berprestasi yang dikirim (%)</t>
  </si>
  <si>
    <t>Rata-rata Capaian Kinerja</t>
  </si>
  <si>
    <t>REALISASI ANGGARAN SELURUH PROGRAM</t>
  </si>
  <si>
    <t>TOTAL RATA-RATA CAPAIAN KINERJA DAN ANGGARAN DARI SELURUH PROGRAM</t>
  </si>
  <si>
    <t>Meningkatkan Akuntabilitas Kinerja Instansi Pemerintah</t>
  </si>
  <si>
    <t>Persentase Peningkatan Pelayanan Administrasi Perkantoran</t>
  </si>
  <si>
    <t>Jumlah tagihan pengiriman surat menyurat</t>
  </si>
  <si>
    <t>Bagian Umum</t>
  </si>
  <si>
    <t>Jumlah tagihan rekening listrik dan air</t>
  </si>
  <si>
    <t>Jumlah peralatan dan perlengkapan kantor yang disewa</t>
  </si>
  <si>
    <t>Bagian Keuangan</t>
  </si>
  <si>
    <t>Jumlah biaya honorarium tenaga kebersihan yang dibayarkan</t>
  </si>
  <si>
    <t>Jumlah peralatan kerja yang diperbaiki</t>
  </si>
  <si>
    <t>Penyediaan Komponen Instalasi Listrik / Penerangan Bangunan Kantor</t>
  </si>
  <si>
    <t>Jumlah komponen instalasi listrik/penerangan bangunan</t>
  </si>
  <si>
    <t>Jumlah peralatan dan perlengkapan kantor yang disediakan</t>
  </si>
  <si>
    <t>Jumlah Koordinasi dan Konsultasi ke luar daerah yang diikuti</t>
  </si>
  <si>
    <t>Jumlah Koordinasi dan Konsultasi ke dalam daerah yang diikuti</t>
  </si>
  <si>
    <t xml:space="preserve">Penunjang Operasional Perencanaan dan Pelaporan </t>
  </si>
  <si>
    <t>Jumlah Dokumen Perencanaan dan Pelaporan Sekretariat Daerah</t>
  </si>
  <si>
    <t>Penyediaan  Jasa Tenaga Kerja Non PNS</t>
  </si>
  <si>
    <t xml:space="preserve">Jumlah tenaga kerja kontrak yang dibayarkan </t>
  </si>
  <si>
    <t>Penyusunan dan Finalisasi Laporan Keuangan</t>
  </si>
  <si>
    <t>Jumlah Laporan Keuangan yang disusun</t>
  </si>
  <si>
    <t xml:space="preserve">Rapat-rapat Koordinasi dan Konsultasi ke Luar Provinsi </t>
  </si>
  <si>
    <t>Jumlah Koordinasi dan Konsultasi ke Luar Provinsi yang diikuti</t>
  </si>
  <si>
    <t>RATA-RATA CAPAIAN KINERJA (%)</t>
  </si>
  <si>
    <t>PREDIKET KINERJA</t>
  </si>
  <si>
    <t>SR</t>
  </si>
  <si>
    <t>Persentase Peningkatan Sarana dan Prasarana Aparatur</t>
  </si>
  <si>
    <t>Jumlah kendaraan dinas roda 2</t>
  </si>
  <si>
    <t>Pengadaan Perlengkapan Rumah Jabatan/Dinas</t>
  </si>
  <si>
    <t>Jumlah Pengadaan Perlengkapan Rumah Jabatan/Dinas</t>
  </si>
  <si>
    <t>Pengadaan Peralatan Rumah Jabatan/ Dinas</t>
  </si>
  <si>
    <t>Jumlah Pengadaan Peralatan Rumah Jabatan/Dinas</t>
  </si>
  <si>
    <t>Pengadaan Meubileur</t>
  </si>
  <si>
    <t xml:space="preserve">Jumlah Pengadaan Meubiler </t>
  </si>
  <si>
    <t>Pemeliharaan Rutin/Berkala Peralatan Rumah Dinas/Jabatan</t>
  </si>
  <si>
    <t>Jumlah Pemeliharaan Peralatan Rumah Dinas/Jabatan</t>
  </si>
  <si>
    <t>Pemeliharaan Rutin/Berkala Rumah Jabatan</t>
  </si>
  <si>
    <t>Jumlah pemeliharaan Rumah Jabatan</t>
  </si>
  <si>
    <t xml:space="preserve">Jumlah pemeliharaan rumah dinas </t>
  </si>
  <si>
    <t>Pemeliharaan Rutin/ Berkala Gedung Kantor</t>
  </si>
  <si>
    <t>Pemeliharaan Rutin/berkala Mobil Jabatan</t>
  </si>
  <si>
    <t>Jumlah pemeliharaan mobil jabatan</t>
  </si>
  <si>
    <t>Pemeliharaan Rutin/ Berkala Kendaraan Dinas/Operasional</t>
  </si>
  <si>
    <t>Jumlah pemeliharaan kendaraan dinas/operasional</t>
  </si>
  <si>
    <t>Pemeliharaan Rutin/Berkala Perlengkapan Rumah Jabatan/Dinas</t>
  </si>
  <si>
    <t>Jumlah pemeliharaan perlengkapan Rumah Jabatan/Dinas</t>
  </si>
  <si>
    <t>Pemeliharaan Rutin/ Berkala Meubileur</t>
  </si>
  <si>
    <t>Jumlah Pemeliharaan Meubeliur</t>
  </si>
  <si>
    <t>Meningkatkan Pembinaan Keagamaan dan Sosial Kemasyarakatan</t>
  </si>
  <si>
    <t>4</t>
  </si>
  <si>
    <t>Persentase Guru MDQ,TPQ/TPSQ sesuai dengan Kriteria</t>
  </si>
  <si>
    <t>Monitoring dan Evaluasi Unit Kesehatan Sekolah (UKS)</t>
  </si>
  <si>
    <t>Jumlah sekolah yang dibina</t>
  </si>
  <si>
    <t>Bagian Kesra</t>
  </si>
  <si>
    <t>Standarisasi MDTA, TPQ/TPSQ</t>
  </si>
  <si>
    <t>Jumlah sosialisasi Standarisasi MDQ TPQ/TPSQ yang dilaksanakan</t>
  </si>
  <si>
    <t>T</t>
  </si>
  <si>
    <t>R</t>
  </si>
  <si>
    <t>Meningkatkan Peran Serta Pemerintah dalam Menangani Konflik di Masyarakat</t>
  </si>
  <si>
    <t>Program Peningkatan Keamanan dan Kenyamanan Lingkungan</t>
  </si>
  <si>
    <t>Jumlah Kasus yang ditangani atau di Fasilitasi</t>
  </si>
  <si>
    <t>Peningkatan Pengawasan Aliran Kepercayaan Masyarakat Kab.Pessel</t>
  </si>
  <si>
    <t>Jumlah aliran kepercayaan yang diawasi</t>
  </si>
  <si>
    <t>Bagian Kesbangpol</t>
  </si>
  <si>
    <t>Operasionalisasi Tim Terpadu Penanganan Konflik Sosial</t>
  </si>
  <si>
    <t>Jumlah konflik sosial yang difasilitasi</t>
  </si>
  <si>
    <t>Program Pemeliharaan Kantrantibmas dan Pencegahan Tindak Kriminal</t>
  </si>
  <si>
    <t>Jumlah Rekomendasi kebijakan pencegahan gangguan keamanan Nasional di Daerah</t>
  </si>
  <si>
    <t>Persentase Penurunan Pungli di Kabupaten Pesisir Selatan</t>
  </si>
  <si>
    <t>Komunitas Intelligen Daerah</t>
  </si>
  <si>
    <t xml:space="preserve">Jumlah Rekomendasi </t>
  </si>
  <si>
    <t>Operasionalisasi Unit Bantuan Tugas Sapu Bersih Pemberantasan Pungutan Liar Tingkat Kabupaten Pesisir Selatan</t>
  </si>
  <si>
    <t>Jumlah kasus pungutan liar yang ditangani</t>
  </si>
  <si>
    <t>Program Pengembangan Wawasan Kebangsaan</t>
  </si>
  <si>
    <t>Persentase Kehadiran Stakeholders dalam mengikuti Sidang Paripurna DPRD dalam Rangka memperingati Hari Jadi Kabupaten Pesisir Selatan</t>
  </si>
  <si>
    <t>Persentase Peserta yang memahami pengetahuan wawasan kebangsaan dan kesadaran bela negara</t>
  </si>
  <si>
    <t>Pelaksanaan Upacara Kesadaran Nasional dan Hari Besar Lainnya</t>
  </si>
  <si>
    <t>Jumlah pelaksanaan upacara hari kesadaran nasional dan hari besar lainnya</t>
  </si>
  <si>
    <t>Pelaporan RANHAM</t>
  </si>
  <si>
    <t>Jumlah Laporan RanHam</t>
  </si>
  <si>
    <t>Bagian Hukum</t>
  </si>
  <si>
    <t>Peningkatan Kesadaran Bela Negara</t>
  </si>
  <si>
    <t>Jumlah Sosialisasi dan pelatihan wawasan kebangsaan dan peningkatan kesadaran bela negara yang dilaksanakan</t>
  </si>
  <si>
    <t>Peringatan Hari Jadi Pesisir Selatan</t>
  </si>
  <si>
    <t>Jumlah undangan yang hadir</t>
  </si>
  <si>
    <t>Bagian Pemerintahan dan Otda</t>
  </si>
  <si>
    <t>Jumlah sidang paripurna</t>
  </si>
  <si>
    <t>Program Pemberdayaan Masyarakat Untuk Menjaga Ketertiban dan Keamanan</t>
  </si>
  <si>
    <t>Jumlah Rekomendasi kebijakan untuk pencegahan dan penanggulangan potensi konflik dimasyarakat</t>
  </si>
  <si>
    <t>Forum Kewaspadaan Dini Masyarakat</t>
  </si>
  <si>
    <t>Jumlah Rapat Koordinasi Forum Kewaspadaan dini masyarakat</t>
  </si>
  <si>
    <t>Meningkatkan Jumlah Struktur Sosial Dalam Rangka Mencegah Penyalahgunaan Narkoba dan Obat-Obat Terlarang</t>
  </si>
  <si>
    <t>Program Peningkatan Pemberantasan Penyakit Masyarakat (Pekat)</t>
  </si>
  <si>
    <t>Persentase penurunan kasus narkoba tingkat pelajar</t>
  </si>
  <si>
    <t>Fasilitasi Pencegahan Penyalahgunaan Narkotika</t>
  </si>
  <si>
    <t>Jumlah sosialisasi pencegahan penyalahgunaan narkotika</t>
  </si>
  <si>
    <t>Program Pendidikan Politik  Masyarakat</t>
  </si>
  <si>
    <t>Persentase Jumlah Ormas /LSM yang memenuhi syarat administrasi yang lengkap</t>
  </si>
  <si>
    <t>Monitoring Evaluasi Keberadaan Ormas/LSM sesuai dengan Undang-Undang Keormasan</t>
  </si>
  <si>
    <t>Jumlah Ormas yang mendapat pembinaan</t>
  </si>
  <si>
    <t>Meneliti dan Memeriksa Persyaratan Administrasi Bantuan Keuangan Kepada Partai</t>
  </si>
  <si>
    <t>Jumlah Parpol yang mengajukan bantuan keuangan yang diverifikasi</t>
  </si>
  <si>
    <t>Meningkatkan Fasilitasi dan Koordinasi Penyelenggaraan Kegiatan Pemerintah Daerah Kabupaten Pesisir Selatan</t>
  </si>
  <si>
    <t>Program Pelayanan dan Rehabilitasi Kesejahteraan Sosial</t>
  </si>
  <si>
    <t>Persentase Pelayanan dan Rehabilitasi Kesejahteraan Sosial</t>
  </si>
  <si>
    <t>Pengawasan Pupuk Bersubsidi dan Peptisida</t>
  </si>
  <si>
    <t>Jumlah kios pupuk bersubsidi dan pestisida yang diawasi</t>
  </si>
  <si>
    <t>Bagian Perekonomian</t>
  </si>
  <si>
    <t>Monitoring, Evaluasi, Pelaporan dan Koordinasi LPG 3 Kg/Gas dan BBM</t>
  </si>
  <si>
    <t>Jumlah pangkalan LPJ 3 Kg/Gas dan BBM yang dimonev</t>
  </si>
  <si>
    <t>Meningkatkan Fasilitasi Pelaksanaan Kegiatan Keagamaan</t>
  </si>
  <si>
    <t>Program Pemberdayaan Kelembagaan Kesejahteraan Sosial</t>
  </si>
  <si>
    <t>Persentase Pemberdayaan Kelembagaan Kesejahteraan Sosial</t>
  </si>
  <si>
    <t>Tim Silaturahmi Pemda</t>
  </si>
  <si>
    <t>Jumlah Masjid yang dikunjungi</t>
  </si>
  <si>
    <t>Persiapan dan Penyelenggaraan MTQ</t>
  </si>
  <si>
    <t>Jumlah Cabang yang diikuti</t>
  </si>
  <si>
    <t>Fasilitasi Penyelenggaraan Ibadah Haji</t>
  </si>
  <si>
    <t>Jumlah Jamaah Haji yang difasilitasi</t>
  </si>
  <si>
    <t>Pembinaan Lembaga Didikan Subuh</t>
  </si>
  <si>
    <t>Pengembangan Adat Basandi Syarak, Syarak Basandi Basandi Kitabullah (ABS-SBK)</t>
  </si>
  <si>
    <t>Jumlah KAN yang dibina</t>
  </si>
  <si>
    <t>Koordinasi dan Konsultasi Kesejahteraan Rakyat dan Urusan Keagamaan</t>
  </si>
  <si>
    <t>Jumlah Rapat Koordinasi yang dilaksanakan</t>
  </si>
  <si>
    <t>Pengelolaan Pemberian Hibah Bansos</t>
  </si>
  <si>
    <t>Jumlah Proposal yang difasilitasi</t>
  </si>
  <si>
    <t>Pembinaan Pondok Pesantren, MDTA, dan Pondok Alquran</t>
  </si>
  <si>
    <t>Jumlah Pondok Pesantren, MDTA, dan Pondok Alquran yang dibina</t>
  </si>
  <si>
    <t>Program Kerjasama Informasi dengan  Media Massa</t>
  </si>
  <si>
    <t>Jumlah kerjasama dengan Media Massa dalam penyebaran informasi daerah yang diatur dalam perundang-undangan yang berlaku</t>
  </si>
  <si>
    <t>Penyebarluasan Informasi Pembangunan Daerah</t>
  </si>
  <si>
    <t>Jumlah kerja sama dengan Media Massa</t>
  </si>
  <si>
    <t>Bagian Humas dan Protokoler</t>
  </si>
  <si>
    <t xml:space="preserve">Dokumentasi Kegiatan Pemerintah Daerah </t>
  </si>
  <si>
    <t>Jumlah dokumen kegiatan pemerintah daerah</t>
  </si>
  <si>
    <t>Jumlah publikasi dan promosi daerah</t>
  </si>
  <si>
    <t>Bintek Kapasitas Kewartawanan dan Pers/Studi Banding</t>
  </si>
  <si>
    <t>Jumlah Peserta Bintek Kewartawanan dan Pers</t>
  </si>
  <si>
    <t>Peringkat Pemuda  Pelopor Tingkat Provinsi</t>
  </si>
  <si>
    <t>Program Pembinaan dan Pemasyarakatan Olahraga</t>
  </si>
  <si>
    <t>Persentase PNS Yang Mengikuti Olah Raga</t>
  </si>
  <si>
    <t>Pemasyarakatan Olahraga Aparatur</t>
  </si>
  <si>
    <t>Jumlah kegiatan olahraga aparatur yang dilaksanakan</t>
  </si>
  <si>
    <t>Program Penyelamatan dan Pelestarian Dokumen/Arsip Daerah</t>
  </si>
  <si>
    <t>Persentase Arsip Sekretariat Daerah yang terkelola dengan baik</t>
  </si>
  <si>
    <t>Pendataan dan Penataan Dokumen/Arsip Daerah</t>
  </si>
  <si>
    <t>Jumlah arsip Lingkup Setda yang ditata</t>
  </si>
  <si>
    <t>Program Peningkatan Efisensi Perdagangan Dalam Negeri</t>
  </si>
  <si>
    <t>Jumlah rekomendasi untuk pengendalian harga dan inflasi daerah</t>
  </si>
  <si>
    <t>62</t>
  </si>
  <si>
    <t>Monitoring dan Evaluasi Penyaluran Kredit Usaha Rakyat (KUR)</t>
  </si>
  <si>
    <t>Jumlah Penerima KUR yang dimonitoring dan dievaluasi</t>
  </si>
  <si>
    <t>Program Peningkatan Sistem Pengawasan Internal dan Pengendalian Pelaksanaan Kebijakan KDH</t>
  </si>
  <si>
    <t>Persentase penyampaian perkembangan fisik dan keuangan OPD sesuai target dan tepat waktu</t>
  </si>
  <si>
    <t>Optimalisasi Fungsi Koordinasi Bidang Ekonomi, Pembangunan dan Kesra</t>
  </si>
  <si>
    <t>Jumlah Koordinasi Asisten Bidang Perekonomian dan Pembangunan</t>
  </si>
  <si>
    <t>Asisten II</t>
  </si>
  <si>
    <t>Pengendalian Program Pembangunan Daerah</t>
  </si>
  <si>
    <t>Jumlah rapat evaluasi dan monitoring program pembangunan daerah yang dilaksanakan</t>
  </si>
  <si>
    <t>Bagian Pembangunan dan Insfrastruktur</t>
  </si>
  <si>
    <t>Pemantapan dan Optimalisasi Fungsi Staf Ahli Bupati</t>
  </si>
  <si>
    <t>Jumlah Rekomendasi Staf Ahli Bupati</t>
  </si>
  <si>
    <t>Staf Ahli</t>
  </si>
  <si>
    <t xml:space="preserve">Optimalisasi Fungsi Koordinasi Bidang Umum, Organisasi dan Keuangan </t>
  </si>
  <si>
    <t>Jumlah Koordinasi Asisten Bidang Administrasi Umum</t>
  </si>
  <si>
    <t>Asisten III</t>
  </si>
  <si>
    <t>Optimalisasi Fungsi Koordinasi Bidang Pemerintahan, Politik dan Hukum</t>
  </si>
  <si>
    <t>Jumlah Koordinasi Asisten Bidang Pemerintahan dan Kesejahteraan Rakyat</t>
  </si>
  <si>
    <t>Asisten I</t>
  </si>
  <si>
    <t>Meningkatkan Kualitas Pelayanan Publik</t>
  </si>
  <si>
    <t xml:space="preserve">Program Penataan dan Penyempurnaan Kebijakan Sistem dan Prosedur Pengawasan </t>
  </si>
  <si>
    <t xml:space="preserve">Persentase pelelangan yang sesuai dengan aturan yang berlaku            </t>
  </si>
  <si>
    <t>Persentase pengadaan barang/jasa yang dilaksanakan melalui SPSE</t>
  </si>
  <si>
    <t>Evaluasi, Pelaporan dan Pengelolaan Dokumen Pengadaan Barang dan Jasa</t>
  </si>
  <si>
    <t>Jumlah dokumen evaluasi, pelaporan dan pengelolaan pengadaan barang dan jasa</t>
  </si>
  <si>
    <t>Bagian Pengadaan Barang dan Jasa</t>
  </si>
  <si>
    <t>Pembinaan dan Pengawasan Jasa Kontruksi</t>
  </si>
  <si>
    <t>Jumlah Pembinaan dan Pengawasan Jasa Konstruksi yang dilaksanakan</t>
  </si>
  <si>
    <t>Bagian Pembangunan</t>
  </si>
  <si>
    <t>Pelayanan Pengadaan Secara Elektronik</t>
  </si>
  <si>
    <t>Jumlah badan/lembaga yang difasilitasi dalam pelayanan pengadaan barang dan jasa secara elektronik</t>
  </si>
  <si>
    <t>Fasilitasi Lelang dan Klarifikasi PBJ</t>
  </si>
  <si>
    <t>Jumlah Fasilitasi dan Klarifikasi Lelang</t>
  </si>
  <si>
    <t>Penyusunan Standar Dokumen Pengadaan Barang / Jasa Daerah</t>
  </si>
  <si>
    <t>Jumlah Standar Dokumen Pengadaan Barang dan Jasa</t>
  </si>
  <si>
    <t xml:space="preserve">Pembinaan dan Konsultasi Pengadaan Barang dan Jasa </t>
  </si>
  <si>
    <t>Jumlah Peserta pelatihan Pengadaan Barang dan Jasa</t>
  </si>
  <si>
    <t>Pengembangan Standar Operasional Prosedur Pengadaan Barang dan Jasa</t>
  </si>
  <si>
    <t>Jumlah Dokumen Standar Operasional Prosedur Barang dan Jasa</t>
  </si>
  <si>
    <t>Program Perencanaan Pembangunan Ekonomi</t>
  </si>
  <si>
    <t>Persentase Peningkatan Ekonomi Pesisir Selatan</t>
  </si>
  <si>
    <t>Pameran Apkasi dan Sumbar Expo</t>
  </si>
  <si>
    <t>Jumlah Pameran yang diikuti</t>
  </si>
  <si>
    <t>Koordinasi Peningkatan Ekonomi Pesisir Selatan</t>
  </si>
  <si>
    <t>Jumlah rapat koordinasi peningkatan ekonomi Pesisir Selatan</t>
  </si>
  <si>
    <t>Program Peningkatan dan Pengembangan Pengelolaan Keuangan Daerah</t>
  </si>
  <si>
    <t>Persentase Aset Setda yang terkelola dalam kondisi baik</t>
  </si>
  <si>
    <t xml:space="preserve">Peningkatan Manajemen Aset/Barang Daerah </t>
  </si>
  <si>
    <t xml:space="preserve">Jumlah Dokumen Aset/barang daerah lingkup Setda </t>
  </si>
  <si>
    <t>Penyusunan Harga Satuan Pokok Kegiatan</t>
  </si>
  <si>
    <t>Jumlah dokumen HSPK yang disusun</t>
  </si>
  <si>
    <t>Pelaporan Pelaksanaan Kegiatan Pembangunan Daerah</t>
  </si>
  <si>
    <t>Jumlah dokumen laporan  Pelaksanaan Kegiatan Pembangunan Daerah</t>
  </si>
  <si>
    <t>Penyusunan Prosedur Kegiatan</t>
  </si>
  <si>
    <t>Jumlah dokumen prosedur kegiatan  yang disusun</t>
  </si>
  <si>
    <t>S</t>
  </si>
  <si>
    <t>Pemeringkatan kompetensi camat</t>
  </si>
  <si>
    <t>Pengelolaan Administrasi Kepegawaian</t>
  </si>
  <si>
    <t>Persentase pengelolaan administrasi kepegawaian yang difasilitasi</t>
  </si>
  <si>
    <t>Bagian Organisasi</t>
  </si>
  <si>
    <t>Peningkatan Etos Kerja Keprotokolan</t>
  </si>
  <si>
    <t xml:space="preserve">Jumlah pelaksanaan Keprotokolan </t>
  </si>
  <si>
    <t>Bagian Humas</t>
  </si>
  <si>
    <t>Program Peningkatan Pelayanan Kedinasan Kepala Daerah / Wakil Kepala Daerah</t>
  </si>
  <si>
    <t xml:space="preserve">Jumlah pelaksanaan keprotokoleran pemerintah daerah </t>
  </si>
  <si>
    <t>Penerimaan Kunjungan Kerja Pejabat Negara/Departemen/Lembaga Pemerintah Non Departemen/Luar Negeri</t>
  </si>
  <si>
    <t>Jumlah Kunjungan Kerja Pejabat Negara yang difasilitasi</t>
  </si>
  <si>
    <t>Program Penataan Peraturan Perundang-undangan</t>
  </si>
  <si>
    <t xml:space="preserve">Persentase Rancangan Produk hukum yang difasilitasi </t>
  </si>
  <si>
    <t>Persentase Produk Hukum yang di Publikasi</t>
  </si>
  <si>
    <t>Penyusunan Peraturan Bupati</t>
  </si>
  <si>
    <t>Jumlah Peraturan Bupati yang difasilitasi</t>
  </si>
  <si>
    <t>Pembentukan Peraturan Daerah</t>
  </si>
  <si>
    <t>Fasilitasi Pembentukan Peraturan Daerah</t>
  </si>
  <si>
    <t>Pembuatan Buku Lembaran Daerah dan SJDI Hukum</t>
  </si>
  <si>
    <t>Jumlah Buku SJDI yang Disusun</t>
  </si>
  <si>
    <t>Validasi, Evaluasi dan Klarifikasi Keputusan Bupati dan Produk Hukum Pemerintah Nagari</t>
  </si>
  <si>
    <t>Jumlah Produk Hukum Nagari  yang Dievaluasi</t>
  </si>
  <si>
    <t>Program Penataan Kelembagaan dan Ketatausahaan Pemda</t>
  </si>
  <si>
    <t>Persentase penataan kelembagaan dan ketatausahaan Pemda</t>
  </si>
  <si>
    <t>Evaluasi Jabatan SKPD</t>
  </si>
  <si>
    <t>Jumlah Perangkat daerah yang di evaluasi jabatan</t>
  </si>
  <si>
    <t>Koordinasi Pembangunan Daerah Kabupaten Pesisir Selatan</t>
  </si>
  <si>
    <t>Jumlah rapat koordinasi Pembangunan Daerah Kabupaten Pesisir Selatan</t>
  </si>
  <si>
    <t>Penyusunan Peraturan Daerah tentang OPD dan Peraturan Bupati tentang Jabatan Struktural</t>
  </si>
  <si>
    <t>Jumlah Ranperda dan ranperbup  tentang jabatan struktural</t>
  </si>
  <si>
    <t>Forum Pengendalian Harga dan Inflasi Daerah</t>
  </si>
  <si>
    <t>Jumlah Rapat TPID yang dilaksanakan</t>
  </si>
  <si>
    <t>Program Pelayanan Administrasi (KDH)</t>
  </si>
  <si>
    <t>Persentase Terpenuhinya pelayanan Administrasi perkantoran Kepala Daerah</t>
  </si>
  <si>
    <t xml:space="preserve">Penyediaan Komponen Instalasi Listrik/Penerangan Bangunan Rumah Dinas </t>
  </si>
  <si>
    <t xml:space="preserve">Jumlah komponen instalasi listrik penerangan bangunan </t>
  </si>
  <si>
    <t>Jumlah Koordinasi dan Konsultasi yang diikuti luar daerah</t>
  </si>
  <si>
    <t>Program Peningkatan Disiplin Aparatur (KDH)</t>
  </si>
  <si>
    <t>Persentase Peningkatan Disiplin Aparatur</t>
  </si>
  <si>
    <t xml:space="preserve">Pengadaan Pakaian Dinas Beserta Perlengkapan </t>
  </si>
  <si>
    <t>Jumlah pakaian dinas beserta perlengkapan</t>
  </si>
  <si>
    <t>Program Advokasi Pemerintah Daerah</t>
  </si>
  <si>
    <t>Persentase Sangketa  hukum yang difasilitasi</t>
  </si>
  <si>
    <t>Penyelesaian Sengketa Hukum</t>
  </si>
  <si>
    <t>Jumlah perkara hukum yang diselesaikan</t>
  </si>
  <si>
    <t>Program Pemantapan Otonomi Daerah</t>
  </si>
  <si>
    <t>Persentase tahapan penegasan batas wilayah administrasi pemerintahan</t>
  </si>
  <si>
    <t>Persentase Tahapan Pembakuan Nama Rupa Bumi</t>
  </si>
  <si>
    <t>Persentase Nagari Binaan Perantau</t>
  </si>
  <si>
    <t>Persentase Penyelesaian Permasalahan Penyelenggaraan Pemerintah Daerah</t>
  </si>
  <si>
    <t>Jumlah Kerjasama dengan Pihak Ketiga</t>
  </si>
  <si>
    <t>Persentase kehadiran stekeholders pada rapat koordinasi pimpinan daerah</t>
  </si>
  <si>
    <t>Rapat Koordinasi Penyelenggaraan Pemerintah Kabupaten</t>
  </si>
  <si>
    <t>Jumlah rapat koordinasi camat dan wali nagari</t>
  </si>
  <si>
    <t>Jumlah Rakor camat dengan perangkat daerah</t>
  </si>
  <si>
    <t>Fasilitasi Penyelenggaraan Pemerintah Daerah</t>
  </si>
  <si>
    <t>Jumlah fasilitasi Rakor Gubernur dangan Kabupaten Kota</t>
  </si>
  <si>
    <t>Jumlah fasilitasi serah terima jabatan camat</t>
  </si>
  <si>
    <t>Jumlah penyelesaian permasalahan di kecamatan</t>
  </si>
  <si>
    <t>Koordinasi dan Pembinaan Kewilayahan</t>
  </si>
  <si>
    <t>Jumlah Rakor kecamatan yang dihadiri</t>
  </si>
  <si>
    <t>Laporan Evaluasi pelaksanaan Tupoksi Camat</t>
  </si>
  <si>
    <t>Penyusunan Laporan Penyelenggaraan Pemerintah Daerah</t>
  </si>
  <si>
    <t>Jumlah Dokumen LPPD</t>
  </si>
  <si>
    <t>Fasilitasi Kerjasama Antar Daerah</t>
  </si>
  <si>
    <t>Jumlah Mou dan Perjanjian Kerjasama  (PKS) antar daerah</t>
  </si>
  <si>
    <t>Jumlah asistensi MoU kerjasama dengan pihak ketiga</t>
  </si>
  <si>
    <t>Penilaian Kompetensi Camat</t>
  </si>
  <si>
    <t>Jumlah Camat terbaik</t>
  </si>
  <si>
    <t>Nilai Peringkat Tingkat Provinsi</t>
  </si>
  <si>
    <t>3 besar</t>
  </si>
  <si>
    <t>Jumlah Peserta Workshop</t>
  </si>
  <si>
    <t>30 orang</t>
  </si>
  <si>
    <t>Penamaan Rupa Bumi dan Unsur Alami</t>
  </si>
  <si>
    <t>Laporan nama rupa bumi dan unsur buatan</t>
  </si>
  <si>
    <t>Fasilitasi Penegasan Batas Daerah dan Kecamatan</t>
  </si>
  <si>
    <t>Jumlah fasilitasi penetapan dan  penegasan batas nagari</t>
  </si>
  <si>
    <t>Koordinasi Penyusunan Laporan Keterangan Pertanggungjawaban (LKPJ)</t>
  </si>
  <si>
    <t>Jumlah dokumen LKPJ</t>
  </si>
  <si>
    <t>Fasilitasi Kerjasama Rantau</t>
  </si>
  <si>
    <t>Jumlah fasilitasi nagari binaan perantau tingkat Kabupaten</t>
  </si>
  <si>
    <t>Program Peningkatan IMTAQ Bagi Pegawai</t>
  </si>
  <si>
    <t>Tingkat Kepuasaan  terhadap pelayanan Jemaah Haji oleh Pemerintah Daerah</t>
  </si>
  <si>
    <t xml:space="preserve">Peringkat  MTQ Pesisir selatan </t>
  </si>
  <si>
    <t>Persentase kunjungan mesjid tim silahturahmi Pemda</t>
  </si>
  <si>
    <t>Persentase mesjid yang dapat hibah bansos</t>
  </si>
  <si>
    <t>Peningkatan Imtaq bagi Pegawai di Lingkugan Pemda Kab. Pessel dan Penyelenggaraan Hari Besar Islam</t>
  </si>
  <si>
    <t>Jumlah ceramah agama yang dilaksanakan</t>
  </si>
  <si>
    <t>78</t>
  </si>
  <si>
    <t>Program Peningkatan Pengawasan Akuntabilitas Kinerja Aparatur</t>
  </si>
  <si>
    <t xml:space="preserve">Peningkatan Nilai AKIP Kabupaten   </t>
  </si>
  <si>
    <t>BB</t>
  </si>
  <si>
    <t>Peningkatan Pemeringkatan LPPD</t>
  </si>
  <si>
    <t>Persentase tahapan penyampaian dokumen LKPJ Bupati</t>
  </si>
  <si>
    <t>Penyusunan Lakip Kabupaten Pesisir Selatan</t>
  </si>
  <si>
    <t>Jumlah Perangkat Daerah yang menyampaikan Lkj tepat waktu</t>
  </si>
  <si>
    <t>Monev Kinerja SKPD</t>
  </si>
  <si>
    <t>Jumlah Laporan monev Kinerja Perangkat daerah</t>
  </si>
  <si>
    <t>Program Pengembangan Manajemen Pelayanan Publik</t>
  </si>
  <si>
    <t>Tingkat Kepuasan Masyarakat</t>
  </si>
  <si>
    <t xml:space="preserve">Indeks Kepuasan Masyarakat </t>
  </si>
  <si>
    <t>Jumlah PD pelayanan publik yang disurvey</t>
  </si>
  <si>
    <t>Fasilitasi Pelaksanaan Inovasi Pelayanan Publik</t>
  </si>
  <si>
    <t>Jumlah inovasi pelayanan publik yang difasilitasi</t>
  </si>
  <si>
    <t>Peningkatan Manajemen Pelayanan Publik</t>
  </si>
  <si>
    <t>Jumlah laporan pelayanan publik</t>
  </si>
  <si>
    <t>Tersedianya Tenaga Aparatur Pengelola Keuangan yang Profesional pada Badan Pengelola Keuangan daerah</t>
  </si>
  <si>
    <t>Tersedianya dana untuk jasa pelayanan rek air, listrik dan Telp (bulan)</t>
  </si>
  <si>
    <t>Tersedianya dana Administrasi Jasa Pengelolaan Keuangan Daerah dalam 1 Tahun (bulan)</t>
  </si>
  <si>
    <t>Tersedianya Jasa Kebersihan Kantor (bulan)</t>
  </si>
  <si>
    <t>Tersedianya Alat  Tulis Kantor (bulan)</t>
  </si>
  <si>
    <t xml:space="preserve">Penyediaan Barang Cetakan dan Penggandaan </t>
  </si>
  <si>
    <t>Tersedianya Barang Cetakan dan Penggandaan (bulan)</t>
  </si>
  <si>
    <t>Penyediaan Komponen Instalasi Listrik/Penerangan bangunan kantor</t>
  </si>
  <si>
    <t>Tersedianya Komponen Instalasi listrik/Penerangan Kantor (bulan)</t>
  </si>
  <si>
    <t>Penyediaan bahan bacaan dan peraturan perundang undangan</t>
  </si>
  <si>
    <t xml:space="preserve">Tersedianya bahan bacaan dan peraturan perundang undangan (bulan) </t>
  </si>
  <si>
    <t>Tersedianya makan mimum rapat, tamu dan pegawai ( piket kantor) (bulan)</t>
  </si>
  <si>
    <t>Rapat - rapat koordinasi dan konsultasi ke Luar Daerah</t>
  </si>
  <si>
    <t>Terselenggaranya rapat-rapat koordinasi dan konsultasi ke Luar Daerah (bulan)</t>
  </si>
  <si>
    <t>Rapat - rapat koordinasi dan konsultasi ke  Dalam Daerah</t>
  </si>
  <si>
    <t>Terselenggaranya rapat-rapat koordinasi dan konsultasi ke Dalam Daerah (bulan)</t>
  </si>
  <si>
    <t>Tersusunnya Dokumen Anggaran dan Pelaporan Pelaksanaan Pertanggungjawaban SKPD (bulan)</t>
  </si>
  <si>
    <t>Penyusunan Rencana Strategis</t>
  </si>
  <si>
    <t>Tersusunnya Renstra SKPD</t>
  </si>
  <si>
    <t>Tersedianya Sarana dan Prasarana ASN Lingkup BPKD</t>
  </si>
  <si>
    <t>Tersedianyan Kendaraan Dinas Jabatan dan Operasional (unit)</t>
  </si>
  <si>
    <t>Pengadaan Perlengkapan gedung kantor</t>
  </si>
  <si>
    <t>Terpenuhinya kebutuhan Perlengkapan gedung kantor (unit)</t>
  </si>
  <si>
    <t>Pengadaan Peralatan gedung kantor</t>
  </si>
  <si>
    <t>Terpenuhinya kebutuhan peralatan gedung kantor (unit)</t>
  </si>
  <si>
    <t>Pemeliharaan Rutin Berkala Gedung Kantor</t>
  </si>
  <si>
    <t>Terpeliharanya Gedung Kantor (unit)</t>
  </si>
  <si>
    <t>Terpeliharanya Kendaraan Dinas Opeasional (Kendaraan Roda4 dan Roda 2) (bulan)</t>
  </si>
  <si>
    <t>Terpeliharanya Perlengkapan Kantor (buan)</t>
  </si>
  <si>
    <t>ASRI,SH</t>
  </si>
  <si>
    <t>Tersedia dan Meningkatkannya Aparatur Lingkup BPKD</t>
  </si>
  <si>
    <t>Terlaksananya Pendidikan dan Pelatihan Formal (orang)</t>
  </si>
  <si>
    <t>Terusunnya Laporan Keuangan yang Transparan dan Akuntabel</t>
  </si>
  <si>
    <t xml:space="preserve">Tercapainya Optimalisasi Sistem Pelaporan Capainan Kinerja dan Keuangan </t>
  </si>
  <si>
    <t>Penyusunan Laporan Capaian Kinerja dan Ikhtsar realisasi kinerja SKPD</t>
  </si>
  <si>
    <t>Tertibnya pengelolaan keuangan daerah (buku)</t>
  </si>
  <si>
    <t>Penyusunan Laporan Keuangan Semesteran</t>
  </si>
  <si>
    <t>Tersedianya informasi keuangan semester (buku)</t>
  </si>
  <si>
    <t>Penyusunan Pelaporan Keuangan Akhir Tahun</t>
  </si>
  <si>
    <t>Terpenuhinya informasi keuangan daerah yang transparansi (buku)</t>
  </si>
  <si>
    <t>Tersedianya Sertifikat Tanah Aset Daerah Pesisir Selatan</t>
  </si>
  <si>
    <t>Program Penataan Penguasaan, Pemilikan, Penggunaan dan Pemanfaatan Tanah</t>
  </si>
  <si>
    <t>Tersedianya Penataan penguasaan, pemilikan, dan pemanfaatan tanah pemda</t>
  </si>
  <si>
    <t>Sertifiasi Tanah Hak Milik Pemerintah Daerah</t>
  </si>
  <si>
    <t>Terbitnya Sertifikat Tanah Pemda 50 Objek Tanah (persen)</t>
  </si>
  <si>
    <t>Terlaksananya Festival Langkisau</t>
  </si>
  <si>
    <t>Program Pengembangan Pemasaran Pariwisata</t>
  </si>
  <si>
    <t>Berkembangnya pemasaan - pariwisata peningkatan jumlah wisnu - peningkatan jumlah wisman</t>
  </si>
  <si>
    <t>Pelaksanaan Festival Langkisau</t>
  </si>
  <si>
    <t>Terlaksananya Pameran pada Festival Langkisau (persen)</t>
  </si>
  <si>
    <t>Terselesaikannya Kasus Ganti RugiSesuai LHP BPK</t>
  </si>
  <si>
    <t>Program Peningkatan Sistem Pegawasan Internal dan Pengendalian Pelaksanaan Kebijakan KDH</t>
  </si>
  <si>
    <t>Terlaksananya Peningkatan sistem Pengawasan Internal dan Pengendalian Pelaksanaan Kebijakan KDH</t>
  </si>
  <si>
    <t>Penanganan Kasus dan Penyelesaian Ganti Kerugian Negara/Daerah</t>
  </si>
  <si>
    <t>Terlaksananya peningkatan sistem Pengawasan Internal (persen)</t>
  </si>
  <si>
    <t>Terlaksananya Proses APBD Kabupaten Pesisir Selatan Tepat Waktu dan Tertib Administrasi Aset Barang Milik daerah</t>
  </si>
  <si>
    <t>dokumen apbd dan p-apbd tepat waktu (dokumen)</t>
  </si>
  <si>
    <t>Persentase perangkat daerah yang tertib Penatausahaan Barang Milik Daerah (persen)</t>
  </si>
  <si>
    <t>Persentase penyelesaian administrasi keuangan sesuai SOP</t>
  </si>
  <si>
    <t xml:space="preserve">Penyusunan Standar Satuan Harga </t>
  </si>
  <si>
    <t>Tersusunnya Standar Harga (buku)</t>
  </si>
  <si>
    <t xml:space="preserve">Penyusunan Rancangan Peraturan Daerah tentang APBD </t>
  </si>
  <si>
    <t>Tersedianyan Buku Rancangan Perda tentang APBD (buku)</t>
  </si>
  <si>
    <t>Penyusunan Rancangan Peraturan KDH Tentang Penjabaran APBD</t>
  </si>
  <si>
    <t>Tersedianyan Buku Rancangan Perda tentang Penjabaran  APBD (buku)</t>
  </si>
  <si>
    <t>Penyusunan Rancangan Peraturan Daerah tentang  Perubahan APBD</t>
  </si>
  <si>
    <t>Tersedianyan Buku Rancangan Perda tentang Perubahan  APBD (buku)</t>
  </si>
  <si>
    <t>Penyusunan Rancangan Peraturan KDH tentang Penjabaran  Perubahan APBD</t>
  </si>
  <si>
    <t>Tersedianyan Buku Rancangan Perda tentang Penjabaran  Perubahan  APBD (buku)</t>
  </si>
  <si>
    <t>Penyusunan Rancangan Peraturan Daerah tentang Pertanggungjawaban Pelaksanaan APBD</t>
  </si>
  <si>
    <t>Tercapainya Peningkatan dan Pengembangan Pengelolaan Keuangan Daerah (buku)</t>
  </si>
  <si>
    <t>Penyusunan Rancangan Peraturan Bupati tentang Penjabaran Pertanggungjawaban Pelaksanaan APBD</t>
  </si>
  <si>
    <t xml:space="preserve">Penyusunan DPA SKPD </t>
  </si>
  <si>
    <t>Tersedianya buku DPA SKPD (buku)</t>
  </si>
  <si>
    <t>Penghapusan Barang - barang Inventaris</t>
  </si>
  <si>
    <t>Terlaksananya Proses Penghapusan Barang-barang Inventaris (bulan)</t>
  </si>
  <si>
    <t>Penyusunan DPA Perubahan SKPD</t>
  </si>
  <si>
    <t>Tersedianya buku DPA Perubahan SKPD (buku)</t>
  </si>
  <si>
    <t>Penunjang Sistim Informasi Pengelolaan Keuangan Daerah</t>
  </si>
  <si>
    <t>Terlaksananya Pengelolaan Keuangan Daerah (bulan)</t>
  </si>
  <si>
    <t>Penyusunan rancangan peraturan KDH tentang penjabaran APBD 2016</t>
  </si>
  <si>
    <t>( buku)</t>
  </si>
  <si>
    <t>Penyusunan rancangan peratturan daerah tentang APBD 2016</t>
  </si>
  <si>
    <t xml:space="preserve">Penyusunan Laporan PAD </t>
  </si>
  <si>
    <t>(bulan)</t>
  </si>
  <si>
    <t>50</t>
  </si>
  <si>
    <t>Cetak massal dan pengadaan bahan bahan dokumen PBB-P2</t>
  </si>
  <si>
    <t>(persen)</t>
  </si>
  <si>
    <t>Pengadaan Barang Kuasi</t>
  </si>
  <si>
    <t>65</t>
  </si>
  <si>
    <t>Pendataan dan Verifikasi No Objek Pajak PBB-P2</t>
  </si>
  <si>
    <t>Penunjang sistem e-PAD</t>
  </si>
  <si>
    <t>Pengelolaan dan Penatausahaan Gaji PNSD</t>
  </si>
  <si>
    <t>Terlaksananya Pengeloaan dan Penatausahaan Gaji ASN ( bulan)</t>
  </si>
  <si>
    <t>74</t>
  </si>
  <si>
    <t>76</t>
  </si>
  <si>
    <t>Intensifikasi dan Ekstensifikasi sumber-sumber pajak daerah</t>
  </si>
  <si>
    <t>77</t>
  </si>
  <si>
    <t>Intensifikasi dan Ekstensifikasi sumber-sumber retribusi daerah dan pendapatan lainnya</t>
  </si>
  <si>
    <t>Pelayanan Peningkatan pemungutan pajak daerah</t>
  </si>
  <si>
    <t xml:space="preserve">Pemutakhiran data piutang PBB-P2 </t>
  </si>
  <si>
    <t>82</t>
  </si>
  <si>
    <t>Rekonsiliasi penerimaan negara bukan pajak (PNBP)</t>
  </si>
  <si>
    <t>Rekonsiliasi Retribusi Daerah</t>
  </si>
  <si>
    <t>Pengelolaan dan Penatausahaan Kas Daerah</t>
  </si>
  <si>
    <t>Terwujudnya Pengelolaan dan Penatausahaan Kas Daerah (persen)</t>
  </si>
  <si>
    <t>Verifikasi Rencana Kebutuhan Barang dan Pemeliharaan Barang</t>
  </si>
  <si>
    <t>Terlaksananya verifikasi rencana kebutuhan barang dan Pemeliharaan Barang (bulan)</t>
  </si>
  <si>
    <t>Peningkatan Manajemen Aset/ Barang Daerah</t>
  </si>
  <si>
    <t>Tertatanya Manajemen Aset Daerah dengan Baik (buku)</t>
  </si>
  <si>
    <t>Penyusunan rancangan kebutuhan barang dan pemeliharaan</t>
  </si>
  <si>
    <t>Terlaksananya penyusunan rencana kebutuhan barang dan Pemeliharaan Barang (bulan)</t>
  </si>
  <si>
    <t>Penyusunan Laporan Barang Milik Daerah</t>
  </si>
  <si>
    <t>(buku)</t>
  </si>
  <si>
    <t>Bimbingan Teknis Penatausahaan Barang Milik Daerah</t>
  </si>
  <si>
    <t>Pembinaan Laporan Keuangan OPD</t>
  </si>
  <si>
    <t>(unit SKPD)</t>
  </si>
  <si>
    <t>Revisi Kebijakan Akuntansi Pemerintah Daerah Kabupaten Pesisir Selatan</t>
  </si>
  <si>
    <t>Penyusunan Standar Biaya</t>
  </si>
  <si>
    <t>Sosialisasi Pedoman Penyusunan APBD</t>
  </si>
  <si>
    <t>Bimningan Teknis Belanja Non Tunai</t>
  </si>
  <si>
    <t>Terbinanya Pengelolaan Keuangan Daerah di Kabupaten Pesisir Selatan</t>
  </si>
  <si>
    <t>Program Pembinaan dan Fasilitas Pengelolaan keuangan Kabupaten Kota</t>
  </si>
  <si>
    <t>Analisa APBD Kabupaten Pesisir Selatan Tahun Anggaran 2018</t>
  </si>
  <si>
    <t>Tersedianya Buku Analisa APBD (buku)</t>
  </si>
  <si>
    <t>Asistensi Penataan Hibah dan Bantuan Sosial</t>
  </si>
  <si>
    <t>Tersalurnya Dana Hibah dan Bantuan Sosial (bulan)</t>
  </si>
  <si>
    <t>Pengelolaan Dana Hibah dan Bantuan Sosial</t>
  </si>
  <si>
    <t>Penyusunan dan Sosialisasi pedoman penyusunan APBD tahun anggaran 2017</t>
  </si>
  <si>
    <t>Tersediana buku pedoman pelaksanaan kegiatan (buku)</t>
  </si>
  <si>
    <t>Analisa Standar belanja Kabupaten Pesisir Selatan</t>
  </si>
  <si>
    <t>Tersedianya Analisa Standar Belanja (buku)</t>
  </si>
  <si>
    <t>Rekonsiliasi dana Transfer ke Daerah</t>
  </si>
  <si>
    <t>Terbinanya Pengelolaan Keuangan Nagari di Kabupaten Pesisir Selatan</t>
  </si>
  <si>
    <t>Program Pembinaan dan Fasilitasi  Pengelolaan Keuangan Desa/Nagari</t>
  </si>
  <si>
    <t>Terbina dan meningkatnya Pengetahuan Sumber daya aparatur</t>
  </si>
  <si>
    <t>Pembinaan Pengelolaan Keuangan Nagari</t>
  </si>
  <si>
    <t>Terlaksananya tertib administrasi pengelolaan keuangan nagari (nagari)</t>
  </si>
  <si>
    <t>Monitoring dan Evaluasi dana Transfer ke Nagari</t>
  </si>
  <si>
    <t>Terevaluasinya dana transfer ke nagari (bulan)</t>
  </si>
  <si>
    <t>Monitoring dan Evaluasi Penatausahaan Kas Daerah</t>
  </si>
  <si>
    <t>TOT Aplikasi SIMDA DESA (Nagari)</t>
  </si>
  <si>
    <t>Terselenggaranya TOT Aplikasi Siskuedes (persen)</t>
  </si>
  <si>
    <t>Faktor pendorong keberhasilan kinerja: Terlaksananya kegiatan sesuai dengan waktu dan kegiatan yang direncanakan</t>
  </si>
  <si>
    <t>Faktor penghambat pencapaian kinerja: -</t>
  </si>
  <si>
    <t>Tindak lanjut yang diperlukan dalam triwulan berikutnya: perlunya evaluasi kembali terhadap rencana kegiatan yang telah direncanakan</t>
  </si>
  <si>
    <t>Tindak lanjut yang diperlukan dalam RKPD berikutnya:</t>
  </si>
  <si>
    <t>Rp.</t>
  </si>
  <si>
    <t>Realisasi Capaian 
Kinerja dan Anggaran RKPD  yang Dievaluasi</t>
  </si>
  <si>
    <t xml:space="preserve">                                                                                                                                                                                              </t>
  </si>
  <si>
    <t>Faktor pendorong keberhasilan kinerja:</t>
  </si>
  <si>
    <t>Tindak lanjut yang diperlukan dalam RKPD berikutnya:</t>
  </si>
  <si>
    <t>YOZKI WANDRI, S.Pi. M.Si.</t>
  </si>
  <si>
    <t>NIP. 19750101 200003 1 003</t>
  </si>
  <si>
    <t>Urusan/Bidang Urusan Pemerintahan Daerah Dan Program/Kegiatan</t>
  </si>
  <si>
    <t>EVALUASI TERHADAP HASIL RENCANA KERJAPERANGKAT DAERAH</t>
  </si>
  <si>
    <t>RENJA DINAS ...... KABUPATEN PESISIR SELATAN</t>
  </si>
  <si>
    <t>Priode Pelaksanaan: TRIWULAN I TAHUN 2019</t>
  </si>
  <si>
    <t>URUSAN .......</t>
  </si>
  <si>
    <t>Program ......</t>
  </si>
  <si>
    <t>Dinas ....</t>
  </si>
  <si>
    <t>Kegiatan ...</t>
  </si>
  <si>
    <t xml:space="preserve"> RATA-RATA CAPAIAN KINERJA </t>
  </si>
  <si>
    <t>PERINGKAT KINERJA</t>
  </si>
  <si>
    <t xml:space="preserve">: </t>
  </si>
  <si>
    <t>Painan, .................... 2019</t>
  </si>
  <si>
    <t>Painan, ....................i 2019</t>
  </si>
  <si>
    <t>KEPALA DINAS ..........................</t>
  </si>
  <si>
    <t>NIP. ...................</t>
  </si>
  <si>
    <t>NAMA DAN GELAR</t>
  </si>
</sst>
</file>

<file path=xl/styles.xml><?xml version="1.0" encoding="utf-8"?>
<styleSheet xmlns="http://schemas.openxmlformats.org/spreadsheetml/2006/main">
  <numFmts count="21">
    <numFmt numFmtId="41" formatCode="_(* #,##0_);_(* \(#,##0\);_(* &quot;-&quot;_);_(@_)"/>
    <numFmt numFmtId="43" formatCode="_(* #,##0.00_);_(* \(#,##0.00\);_(* &quot;-&quot;??_);_(@_)"/>
    <numFmt numFmtId="164" formatCode="_(* #,##0_);_(* \(#,##0\);_(* &quot;-&quot;??_);_(@_)"/>
    <numFmt numFmtId="165" formatCode="_(* #,##0.0_);_(* \(#,##0.0\);_(* &quot;-&quot;_);_(@_)"/>
    <numFmt numFmtId="166" formatCode="_(* #,##0.00_);_(* \(#,##0.00\);_(* &quot;-&quot;_);_(@_)"/>
    <numFmt numFmtId="167" formatCode="_-* #,##0_-;\-* #,##0_-;_-* &quot;-&quot;_-;_-@_-"/>
    <numFmt numFmtId="168" formatCode="0.0"/>
    <numFmt numFmtId="169" formatCode="_-* #,##0.00_-;\-* #,##0.00_-;_-* &quot;-&quot;??_-;_-@_-"/>
    <numFmt numFmtId="170" formatCode="_ * #,##0_ ;_ * \-#,##0_ ;_ * &quot;-&quot;??_ ;_ @_ "/>
    <numFmt numFmtId="171" formatCode="#,##0.000"/>
    <numFmt numFmtId="172" formatCode="_-* #,##0_-;\-* #,##0_-;_-* &quot;-&quot;??_-;_-@_-"/>
    <numFmt numFmtId="173" formatCode="_(* #,##0.000_);_(* \(#,##0.000\);_(* &quot;-&quot;_);_(@_)"/>
    <numFmt numFmtId="174" formatCode="0.00000000_ "/>
    <numFmt numFmtId="175" formatCode="_(* #,##0.0_);_(* \(#,##0.0\);_(* &quot;-&quot;??_);_(@_)"/>
    <numFmt numFmtId="176" formatCode="0.0000%"/>
    <numFmt numFmtId="177" formatCode="0.000%"/>
    <numFmt numFmtId="178" formatCode="0.0%"/>
    <numFmt numFmtId="179" formatCode="_-* #,##0.00_-;\-* #,##0.00_-;_-* &quot;-&quot;_-;_-@_-"/>
    <numFmt numFmtId="180" formatCode="0.000"/>
    <numFmt numFmtId="181" formatCode="_-* #,##0.0_-;\-* #,##0.0_-;_-* &quot;-&quot;?_-;_-@_-"/>
    <numFmt numFmtId="182" formatCode="0.0000"/>
  </numFmts>
  <fonts count="45">
    <font>
      <sz val="11"/>
      <color theme="1"/>
      <name val="Calibri"/>
      <family val="2"/>
      <charset val="1"/>
      <scheme val="minor"/>
    </font>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charset val="1"/>
      <scheme val="minor"/>
    </font>
    <font>
      <b/>
      <u val="singleAccounting"/>
      <sz val="11"/>
      <color theme="1"/>
      <name val="Calibri"/>
      <family val="2"/>
      <scheme val="minor"/>
    </font>
    <font>
      <b/>
      <sz val="10"/>
      <color theme="1"/>
      <name val="Arial Narrow"/>
      <family val="2"/>
    </font>
    <font>
      <sz val="10"/>
      <color theme="1"/>
      <name val="Arial Narrow"/>
      <family val="2"/>
    </font>
    <font>
      <b/>
      <u val="singleAccounting"/>
      <sz val="10"/>
      <color theme="1"/>
      <name val="Arial Narrow"/>
      <family val="2"/>
    </font>
    <font>
      <b/>
      <sz val="8"/>
      <color theme="1"/>
      <name val="Arial Narrow"/>
      <family val="2"/>
    </font>
    <font>
      <sz val="8"/>
      <color theme="1"/>
      <name val="Arial Narrow"/>
      <family val="2"/>
    </font>
    <font>
      <sz val="8"/>
      <name val="Arial Narrow"/>
      <family val="2"/>
    </font>
    <font>
      <b/>
      <sz val="8"/>
      <name val="Arial Narrow"/>
      <family val="2"/>
    </font>
    <font>
      <sz val="8"/>
      <color rgb="FF000000"/>
      <name val="Arial Narrow"/>
      <family val="2"/>
    </font>
    <font>
      <sz val="10"/>
      <color rgb="FF000000"/>
      <name val="Arial Narrow"/>
      <family val="2"/>
    </font>
    <font>
      <b/>
      <sz val="9"/>
      <name val="Arial Narrow"/>
      <family val="2"/>
    </font>
    <font>
      <b/>
      <sz val="10"/>
      <name val="Arial Narrow"/>
      <family val="2"/>
    </font>
    <font>
      <sz val="9"/>
      <name val="Arial Narrow"/>
      <family val="2"/>
    </font>
    <font>
      <sz val="9"/>
      <color theme="0"/>
      <name val="Arial Narrow"/>
      <family val="2"/>
    </font>
    <font>
      <b/>
      <sz val="10"/>
      <color theme="0"/>
      <name val="Arial Narrow"/>
      <family val="2"/>
    </font>
    <font>
      <sz val="10"/>
      <name val="Arial Narrow"/>
      <family val="2"/>
    </font>
    <font>
      <sz val="10"/>
      <color theme="0"/>
      <name val="Arial Narrow"/>
      <family val="2"/>
    </font>
    <font>
      <b/>
      <sz val="10"/>
      <color rgb="FF000000"/>
      <name val="Arial Narrow"/>
      <family val="2"/>
    </font>
    <font>
      <sz val="10"/>
      <color indexed="8"/>
      <name val="Arial Narrow"/>
      <family val="2"/>
    </font>
    <font>
      <b/>
      <sz val="9"/>
      <color theme="1"/>
      <name val="Batang"/>
      <family val="1"/>
    </font>
    <font>
      <sz val="11"/>
      <color indexed="8"/>
      <name val="Calibri"/>
      <family val="2"/>
      <charset val="1"/>
    </font>
    <font>
      <sz val="11"/>
      <name val="Calibri"/>
      <family val="2"/>
      <scheme val="minor"/>
    </font>
    <font>
      <b/>
      <sz val="11"/>
      <name val="Calibri"/>
      <family val="2"/>
      <scheme val="minor"/>
    </font>
    <font>
      <sz val="12"/>
      <color theme="1"/>
      <name val="Arial"/>
      <family val="2"/>
    </font>
    <font>
      <b/>
      <sz val="12"/>
      <color theme="1"/>
      <name val="Arial"/>
      <family val="2"/>
    </font>
    <font>
      <sz val="11"/>
      <color theme="1"/>
      <name val="Arial"/>
      <family val="2"/>
    </font>
    <font>
      <sz val="11"/>
      <color theme="1"/>
      <name val="Batang"/>
      <family val="1"/>
    </font>
    <font>
      <b/>
      <sz val="11"/>
      <color theme="1"/>
      <name val="Arial"/>
      <family val="2"/>
    </font>
    <font>
      <sz val="10"/>
      <color theme="1"/>
      <name val="Cambria"/>
      <family val="1"/>
      <scheme val="major"/>
    </font>
    <font>
      <sz val="10"/>
      <color rgb="FFFF0000"/>
      <name val="Arial Narrow"/>
      <family val="2"/>
    </font>
    <font>
      <b/>
      <sz val="10"/>
      <color rgb="FFC00000"/>
      <name val="Arial Narrow"/>
      <family val="2"/>
    </font>
    <font>
      <sz val="10"/>
      <color rgb="FFC00000"/>
      <name val="Arial Narrow"/>
      <family val="2"/>
    </font>
    <font>
      <b/>
      <u val="singleAccounting"/>
      <sz val="10"/>
      <name val="Arial Narrow"/>
      <family val="2"/>
    </font>
    <font>
      <b/>
      <sz val="10"/>
      <color indexed="8"/>
      <name val="Arial Narrow"/>
      <family val="2"/>
    </font>
    <font>
      <b/>
      <sz val="12"/>
      <color theme="1"/>
      <name val="Arial Narrow"/>
      <family val="2"/>
    </font>
    <font>
      <b/>
      <sz val="14"/>
      <color theme="1"/>
      <name val="Arial Narrow"/>
      <family val="2"/>
    </font>
    <font>
      <sz val="11"/>
      <color theme="1"/>
      <name val="Arial Narrow"/>
      <family val="2"/>
    </font>
    <font>
      <sz val="12"/>
      <color theme="1"/>
      <name val="Arial Narrow"/>
      <family val="2"/>
    </font>
    <font>
      <b/>
      <u/>
      <sz val="12"/>
      <color theme="1"/>
      <name val="Arial Narrow"/>
      <family val="2"/>
    </font>
  </fonts>
  <fills count="22">
    <fill>
      <patternFill patternType="none"/>
    </fill>
    <fill>
      <patternFill patternType="gray125"/>
    </fill>
    <fill>
      <patternFill patternType="solid">
        <fgColor theme="6" tint="0.59999389629810485"/>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bgColor indexed="64"/>
      </patternFill>
    </fill>
    <fill>
      <patternFill patternType="solid">
        <fgColor theme="6"/>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79995117038483843"/>
        <bgColor indexed="64"/>
      </patternFill>
    </fill>
    <fill>
      <patternFill patternType="solid">
        <fgColor theme="4" tint="0.39997558519241921"/>
        <bgColor indexed="64"/>
      </patternFill>
    </fill>
    <fill>
      <patternFill patternType="solid">
        <fgColor indexed="9"/>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hair">
        <color rgb="FF000000"/>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rgb="FF000000"/>
      </left>
      <right style="thin">
        <color rgb="FF000000"/>
      </right>
      <top style="hair">
        <color auto="1"/>
      </top>
      <bottom style="hair">
        <color auto="1"/>
      </bottom>
      <diagonal/>
    </border>
    <border>
      <left style="thin">
        <color rgb="FF000000"/>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rgb="FF000000"/>
      </left>
      <right style="thin">
        <color rgb="FF000000"/>
      </right>
      <top style="hair">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style="hair">
        <color auto="1"/>
      </bottom>
      <diagonal/>
    </border>
    <border>
      <left style="thin">
        <color auto="1"/>
      </left>
      <right style="thin">
        <color auto="1"/>
      </right>
      <top style="thin">
        <color rgb="FF000000"/>
      </top>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auto="1"/>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thin">
        <color rgb="FF000000"/>
      </left>
      <right style="thin">
        <color rgb="FF000000"/>
      </right>
      <top/>
      <bottom style="hair">
        <color auto="1"/>
      </bottom>
      <diagonal/>
    </border>
    <border>
      <left/>
      <right/>
      <top style="hair">
        <color auto="1"/>
      </top>
      <bottom/>
      <diagonal/>
    </border>
    <border>
      <left style="thin">
        <color rgb="FF000000"/>
      </left>
      <right style="thin">
        <color auto="1"/>
      </right>
      <top style="hair">
        <color auto="1"/>
      </top>
      <bottom/>
      <diagonal/>
    </border>
    <border>
      <left style="thin">
        <color auto="1"/>
      </left>
      <right/>
      <top style="hair">
        <color auto="1"/>
      </top>
      <bottom/>
      <diagonal/>
    </border>
    <border>
      <left style="thin">
        <color rgb="FF000000"/>
      </left>
      <right style="thin">
        <color rgb="FF000000"/>
      </right>
      <top style="hair">
        <color auto="1"/>
      </top>
      <bottom/>
      <diagonal/>
    </border>
    <border>
      <left/>
      <right/>
      <top style="hair">
        <color auto="1"/>
      </top>
      <bottom style="thin">
        <color auto="1"/>
      </bottom>
      <diagonal/>
    </border>
    <border>
      <left style="thin">
        <color rgb="FF000000"/>
      </left>
      <right style="thin">
        <color auto="1"/>
      </right>
      <top style="hair">
        <color auto="1"/>
      </top>
      <bottom style="thin">
        <color auto="1"/>
      </bottom>
      <diagonal/>
    </border>
    <border>
      <left style="thin">
        <color auto="1"/>
      </left>
      <right style="thin">
        <color auto="1"/>
      </right>
      <top style="dashed">
        <color rgb="FF000000"/>
      </top>
      <bottom style="dashed">
        <color rgb="FF000000"/>
      </bottom>
      <diagonal/>
    </border>
    <border>
      <left style="thin">
        <color auto="1"/>
      </left>
      <right style="thin">
        <color auto="1"/>
      </right>
      <top style="dashed">
        <color rgb="FF000000"/>
      </top>
      <bottom/>
      <diagonal/>
    </border>
    <border>
      <left style="thin">
        <color auto="1"/>
      </left>
      <right style="thin">
        <color auto="1"/>
      </right>
      <top style="dashed">
        <color auto="1"/>
      </top>
      <bottom style="dashed">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dashed">
        <color rgb="FF000000"/>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dashed">
        <color rgb="FF000000"/>
      </top>
      <bottom style="dashed">
        <color rgb="FF000000"/>
      </bottom>
      <diagonal/>
    </border>
    <border>
      <left style="thin">
        <color indexed="64"/>
      </left>
      <right/>
      <top style="dashed">
        <color rgb="FF000000"/>
      </top>
      <bottom/>
      <diagonal/>
    </border>
    <border>
      <left style="medium">
        <color rgb="FF000000"/>
      </left>
      <right style="medium">
        <color rgb="FF000000"/>
      </right>
      <top style="dashed">
        <color rgb="FF000000"/>
      </top>
      <bottom/>
      <diagonal/>
    </border>
    <border>
      <left style="medium">
        <color rgb="FF000000"/>
      </left>
      <right/>
      <top style="dashed">
        <color rgb="FF000000"/>
      </top>
      <bottom/>
      <diagonal/>
    </border>
    <border>
      <left/>
      <right style="medium">
        <color rgb="FF000000"/>
      </right>
      <top style="dashed">
        <color rgb="FF000000"/>
      </top>
      <bottom/>
      <diagonal/>
    </border>
    <border>
      <left style="medium">
        <color auto="1"/>
      </left>
      <right style="medium">
        <color auto="1"/>
      </right>
      <top style="dashed">
        <color rgb="FF000000"/>
      </top>
      <bottom/>
      <diagonal/>
    </border>
    <border>
      <left/>
      <right style="thin">
        <color indexed="64"/>
      </right>
      <top style="dashed">
        <color rgb="FF000000"/>
      </top>
      <bottom/>
      <diagonal/>
    </border>
    <border>
      <left style="thin">
        <color indexed="64"/>
      </left>
      <right style="medium">
        <color indexed="64"/>
      </right>
      <top style="dashed">
        <color rgb="FF000000"/>
      </top>
      <bottom style="dashed">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top style="thin">
        <color rgb="FF000000"/>
      </top>
      <bottom style="thin">
        <color indexed="64"/>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auto="1"/>
      </left>
      <right/>
      <top/>
      <bottom style="medium">
        <color auto="1"/>
      </bottom>
      <diagonal/>
    </border>
    <border>
      <left/>
      <right/>
      <top/>
      <bottom style="medium">
        <color auto="1"/>
      </bottom>
      <diagonal/>
    </border>
    <border>
      <left/>
      <right style="medium">
        <color rgb="FF000000"/>
      </right>
      <top/>
      <bottom style="dashed">
        <color rgb="FF000000"/>
      </bottom>
      <diagonal/>
    </border>
    <border>
      <left style="medium">
        <color rgb="FF000000"/>
      </left>
      <right style="medium">
        <color rgb="FF000000"/>
      </right>
      <top/>
      <bottom style="dashed">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000000"/>
      </right>
      <top style="dashed">
        <color rgb="FF000000"/>
      </top>
      <bottom style="dashed">
        <color rgb="FF000000"/>
      </bottom>
      <diagonal/>
    </border>
    <border>
      <left style="thin">
        <color auto="1"/>
      </left>
      <right style="thin">
        <color auto="1"/>
      </right>
      <top/>
      <bottom style="dashed">
        <color rgb="FF000000"/>
      </bottom>
      <diagonal/>
    </border>
    <border>
      <left style="thin">
        <color auto="1"/>
      </left>
      <right style="thin">
        <color auto="1"/>
      </right>
      <top/>
      <bottom style="dashed">
        <color indexed="64"/>
      </bottom>
      <diagonal/>
    </border>
    <border>
      <left style="thin">
        <color auto="1"/>
      </left>
      <right style="thin">
        <color auto="1"/>
      </right>
      <top style="dashed">
        <color indexed="64"/>
      </top>
      <bottom/>
      <diagonal/>
    </border>
    <border>
      <left style="thin">
        <color auto="1"/>
      </left>
      <right style="thin">
        <color auto="1"/>
      </right>
      <top style="dashed">
        <color rgb="FF000000"/>
      </top>
      <bottom style="dashed">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auto="1"/>
      </top>
      <bottom/>
      <diagonal/>
    </border>
    <border>
      <left/>
      <right style="medium">
        <color rgb="FF000000"/>
      </right>
      <top/>
      <bottom style="thin">
        <color auto="1"/>
      </bottom>
      <diagonal/>
    </border>
    <border>
      <left style="thin">
        <color rgb="FF000000"/>
      </left>
      <right style="thin">
        <color rgb="FF000000"/>
      </right>
      <top style="thin">
        <color rgb="FF000000"/>
      </top>
      <bottom/>
      <diagonal/>
    </border>
    <border>
      <left/>
      <right style="medium">
        <color rgb="FF000000"/>
      </right>
      <top/>
      <bottom style="dashed">
        <color indexed="64"/>
      </bottom>
      <diagonal/>
    </border>
    <border>
      <left/>
      <right style="medium">
        <color rgb="FF000000"/>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rgb="FF000000"/>
      </right>
      <top style="dashed">
        <color indexed="64"/>
      </top>
      <bottom style="dashed">
        <color indexed="64"/>
      </bottom>
      <diagonal/>
    </border>
    <border>
      <left/>
      <right style="medium">
        <color indexed="64"/>
      </right>
      <top/>
      <bottom style="dashed">
        <color indexed="64"/>
      </bottom>
      <diagonal/>
    </border>
    <border>
      <left style="medium">
        <color indexed="64"/>
      </left>
      <right style="medium">
        <color rgb="FF000000"/>
      </right>
      <top style="thin">
        <color indexed="64"/>
      </top>
      <bottom style="dashed">
        <color indexed="64"/>
      </bottom>
      <diagonal/>
    </border>
    <border>
      <left/>
      <right style="medium">
        <color indexed="64"/>
      </right>
      <top style="dashed">
        <color indexed="64"/>
      </top>
      <bottom style="dashed">
        <color rgb="FF000000"/>
      </bottom>
      <diagonal/>
    </border>
    <border>
      <left/>
      <right/>
      <top/>
      <bottom style="dashed">
        <color rgb="FF000000"/>
      </bottom>
      <diagonal/>
    </border>
    <border>
      <left/>
      <right/>
      <top style="dashed">
        <color indexed="64"/>
      </top>
      <bottom style="dashed">
        <color indexed="64"/>
      </bottom>
      <diagonal/>
    </border>
    <border>
      <left/>
      <right/>
      <top style="dashed">
        <color indexed="64"/>
      </top>
      <bottom style="dashed">
        <color rgb="FF000000"/>
      </bottom>
      <diagonal/>
    </border>
    <border>
      <left style="medium">
        <color rgb="FF000000"/>
      </left>
      <right style="medium">
        <color rgb="FF000000"/>
      </right>
      <top style="dashed">
        <color rgb="FF000000"/>
      </top>
      <bottom style="medium">
        <color auto="1"/>
      </bottom>
      <diagonal/>
    </border>
    <border>
      <left style="medium">
        <color rgb="FF000000"/>
      </left>
      <right/>
      <top style="dashed">
        <color rgb="FF000000"/>
      </top>
      <bottom style="dashed">
        <color rgb="FF000000"/>
      </bottom>
      <diagonal/>
    </border>
    <border>
      <left style="thin">
        <color indexed="64"/>
      </left>
      <right/>
      <top style="dashed">
        <color rgb="FF000000"/>
      </top>
      <bottom style="dashed">
        <color rgb="FF000000"/>
      </bottom>
      <diagonal/>
    </border>
    <border>
      <left style="medium">
        <color rgb="FF000000"/>
      </left>
      <right style="thin">
        <color indexed="64"/>
      </right>
      <top style="dashed">
        <color rgb="FF000000"/>
      </top>
      <bottom style="dashed">
        <color rgb="FF000000"/>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dashed">
        <color rgb="FF000000"/>
      </top>
      <bottom style="dashed">
        <color rgb="FF000000"/>
      </bottom>
      <diagonal/>
    </border>
    <border>
      <left/>
      <right style="thin">
        <color indexed="64"/>
      </right>
      <top style="dashed">
        <color rgb="FF000000"/>
      </top>
      <bottom style="dashed">
        <color rgb="FF000000"/>
      </bottom>
      <diagonal/>
    </border>
    <border>
      <left style="thin">
        <color indexed="64"/>
      </left>
      <right style="medium">
        <color rgb="FF000000"/>
      </right>
      <top style="dashed">
        <color rgb="FF000000"/>
      </top>
      <bottom style="dashed">
        <color rgb="FF000000"/>
      </bottom>
      <diagonal/>
    </border>
    <border>
      <left style="medium">
        <color rgb="FF000000"/>
      </left>
      <right style="medium">
        <color auto="1"/>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dashed">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dashed">
        <color rgb="FF000000"/>
      </top>
      <bottom/>
      <diagonal/>
    </border>
    <border>
      <left style="thin">
        <color rgb="FF000000"/>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rgb="FF000000"/>
      </left>
      <right style="thin">
        <color rgb="FF000000"/>
      </right>
      <top/>
      <bottom style="thin">
        <color auto="1"/>
      </bottom>
      <diagonal/>
    </border>
    <border>
      <left style="thin">
        <color auto="1"/>
      </left>
      <right style="thin">
        <color rgb="FF000000"/>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thin">
        <color auto="1"/>
      </bottom>
      <diagonal/>
    </border>
  </borders>
  <cellStyleXfs count="8">
    <xf numFmtId="0" fontId="0"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5" fillId="0" borderId="0"/>
    <xf numFmtId="41" fontId="26" fillId="0" borderId="0" applyFont="0" applyFill="0" applyBorder="0" applyAlignment="0" applyProtection="0"/>
    <xf numFmtId="43" fontId="1" fillId="0" borderId="0" applyFont="0" applyFill="0" applyBorder="0" applyAlignment="0" applyProtection="0"/>
  </cellStyleXfs>
  <cellXfs count="2651">
    <xf numFmtId="0" fontId="0" fillId="0" borderId="0" xfId="0"/>
    <xf numFmtId="0" fontId="0" fillId="0" borderId="3" xfId="0" applyBorder="1"/>
    <xf numFmtId="0" fontId="4" fillId="0" borderId="0" xfId="0" applyFont="1"/>
    <xf numFmtId="0" fontId="0" fillId="0" borderId="11" xfId="0" applyBorder="1"/>
    <xf numFmtId="0" fontId="0" fillId="0" borderId="13" xfId="0" applyBorder="1"/>
    <xf numFmtId="0" fontId="0" fillId="0" borderId="12" xfId="0" applyBorder="1"/>
    <xf numFmtId="0" fontId="0" fillId="0" borderId="0" xfId="0" applyAlignment="1">
      <alignment vertical="top"/>
    </xf>
    <xf numFmtId="0" fontId="0" fillId="0" borderId="0" xfId="0" applyAlignment="1">
      <alignment vertical="top" wrapText="1"/>
    </xf>
    <xf numFmtId="0" fontId="0" fillId="0" borderId="4" xfId="0" applyBorder="1" applyAlignment="1">
      <alignment vertical="top"/>
    </xf>
    <xf numFmtId="0" fontId="0" fillId="0" borderId="4" xfId="0" quotePrefix="1" applyBorder="1" applyAlignment="1">
      <alignment vertical="top"/>
    </xf>
    <xf numFmtId="0" fontId="0" fillId="0" borderId="4" xfId="0" applyBorder="1" applyAlignment="1">
      <alignment vertical="top" wrapText="1"/>
    </xf>
    <xf numFmtId="41" fontId="0" fillId="0" borderId="4" xfId="1" applyFont="1" applyBorder="1" applyAlignment="1">
      <alignment vertical="top"/>
    </xf>
    <xf numFmtId="41" fontId="0" fillId="0" borderId="4" xfId="0" applyNumberFormat="1" applyBorder="1" applyAlignment="1">
      <alignment vertical="top"/>
    </xf>
    <xf numFmtId="2" fontId="0" fillId="0" borderId="4" xfId="0" applyNumberFormat="1" applyBorder="1" applyAlignment="1">
      <alignment horizontal="right" vertical="top"/>
    </xf>
    <xf numFmtId="2" fontId="0" fillId="0" borderId="4" xfId="0" applyNumberFormat="1" applyBorder="1" applyAlignment="1">
      <alignment vertical="top"/>
    </xf>
    <xf numFmtId="0" fontId="0" fillId="0" borderId="1" xfId="0" applyBorder="1" applyAlignment="1">
      <alignment vertical="top" wrapText="1"/>
    </xf>
    <xf numFmtId="41" fontId="0" fillId="0" borderId="1" xfId="1" applyFont="1" applyBorder="1" applyAlignment="1">
      <alignment vertical="top" wrapText="1"/>
    </xf>
    <xf numFmtId="2" fontId="0" fillId="0" borderId="1" xfId="1" applyNumberFormat="1" applyFont="1" applyBorder="1" applyAlignment="1">
      <alignment vertical="top" wrapText="1"/>
    </xf>
    <xf numFmtId="0" fontId="0" fillId="0" borderId="1" xfId="0" applyBorder="1" applyAlignment="1">
      <alignment vertical="top"/>
    </xf>
    <xf numFmtId="2" fontId="0" fillId="0" borderId="1" xfId="0" applyNumberFormat="1" applyBorder="1" applyAlignment="1">
      <alignment vertical="top" wrapText="1"/>
    </xf>
    <xf numFmtId="2" fontId="4" fillId="0" borderId="1" xfId="0" applyNumberFormat="1" applyFont="1" applyBorder="1" applyAlignment="1">
      <alignment vertical="top"/>
    </xf>
    <xf numFmtId="0" fontId="0" fillId="3" borderId="1" xfId="0" applyFill="1" applyBorder="1" applyAlignment="1">
      <alignment vertical="top"/>
    </xf>
    <xf numFmtId="0" fontId="4" fillId="0" borderId="1" xfId="0" applyFont="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vertical="top"/>
    </xf>
    <xf numFmtId="0" fontId="4" fillId="2" borderId="1" xfId="0" applyFont="1" applyFill="1" applyBorder="1" applyAlignment="1">
      <alignment vertical="top" wrapText="1"/>
    </xf>
    <xf numFmtId="0" fontId="0" fillId="2" borderId="1" xfId="0" applyFill="1" applyBorder="1" applyAlignment="1">
      <alignment vertical="top" wrapText="1"/>
    </xf>
    <xf numFmtId="41" fontId="0" fillId="2" borderId="1" xfId="1" applyFont="1" applyFill="1" applyBorder="1" applyAlignment="1">
      <alignment vertical="top"/>
    </xf>
    <xf numFmtId="41" fontId="0" fillId="2" borderId="1" xfId="0" applyNumberFormat="1" applyFill="1" applyBorder="1" applyAlignment="1">
      <alignment vertical="top"/>
    </xf>
    <xf numFmtId="2" fontId="0" fillId="2" borderId="1" xfId="0" applyNumberFormat="1" applyFill="1" applyBorder="1" applyAlignment="1">
      <alignment vertical="top"/>
    </xf>
    <xf numFmtId="41" fontId="6" fillId="4" borderId="1" xfId="0" applyNumberFormat="1" applyFont="1" applyFill="1" applyBorder="1"/>
    <xf numFmtId="0" fontId="0" fillId="4" borderId="1" xfId="0" applyFill="1" applyBorder="1"/>
    <xf numFmtId="2" fontId="0" fillId="4" borderId="1" xfId="0" applyNumberFormat="1" applyFill="1" applyBorder="1"/>
    <xf numFmtId="0" fontId="0" fillId="4" borderId="1" xfId="0" applyFill="1" applyBorder="1" applyAlignment="1">
      <alignment horizontal="center"/>
    </xf>
    <xf numFmtId="0" fontId="0" fillId="2" borderId="1" xfId="0" quotePrefix="1" applyFill="1" applyBorder="1" applyAlignment="1">
      <alignment horizontal="center" vertical="top"/>
    </xf>
    <xf numFmtId="0" fontId="0" fillId="0" borderId="4" xfId="0" quotePrefix="1" applyBorder="1" applyAlignment="1">
      <alignment horizontal="center" vertical="top"/>
    </xf>
    <xf numFmtId="0" fontId="0" fillId="0" borderId="1" xfId="0" quotePrefix="1" applyFill="1" applyBorder="1" applyAlignment="1">
      <alignment horizontal="center" vertical="top"/>
    </xf>
    <xf numFmtId="0" fontId="0" fillId="0" borderId="3" xfId="0" applyBorder="1" applyAlignment="1">
      <alignment wrapText="1"/>
    </xf>
    <xf numFmtId="0" fontId="0" fillId="0" borderId="1" xfId="0" applyBorder="1" applyAlignment="1">
      <alignment vertical="center" wrapText="1"/>
    </xf>
    <xf numFmtId="0" fontId="0" fillId="0" borderId="1" xfId="0" applyBorder="1" applyAlignment="1">
      <alignment wrapText="1"/>
    </xf>
    <xf numFmtId="0" fontId="2" fillId="0" borderId="0" xfId="0" applyFont="1"/>
    <xf numFmtId="0" fontId="0" fillId="5" borderId="2" xfId="0" applyFill="1" applyBorder="1"/>
    <xf numFmtId="0" fontId="0" fillId="5" borderId="9" xfId="0" applyFill="1" applyBorder="1" applyAlignment="1">
      <alignment horizontal="center"/>
    </xf>
    <xf numFmtId="0" fontId="0" fillId="5" borderId="10" xfId="0" applyFill="1" applyBorder="1"/>
    <xf numFmtId="0" fontId="0" fillId="5" borderId="9" xfId="0" applyFill="1" applyBorder="1"/>
    <xf numFmtId="0" fontId="0" fillId="5" borderId="3" xfId="0" applyFill="1" applyBorder="1"/>
    <xf numFmtId="0" fontId="0" fillId="5" borderId="5" xfId="0" applyFill="1" applyBorder="1" applyAlignment="1">
      <alignment horizontal="center"/>
    </xf>
    <xf numFmtId="0" fontId="0" fillId="5" borderId="6" xfId="0" applyFill="1" applyBorder="1"/>
    <xf numFmtId="0" fontId="0" fillId="5" borderId="5" xfId="0" applyFill="1" applyBorder="1"/>
    <xf numFmtId="0" fontId="0" fillId="5" borderId="3" xfId="0" applyFill="1" applyBorder="1" applyAlignment="1">
      <alignment horizontal="center"/>
    </xf>
    <xf numFmtId="0" fontId="0" fillId="5" borderId="4" xfId="0" applyFill="1" applyBorder="1"/>
    <xf numFmtId="0" fontId="0" fillId="5" borderId="7" xfId="0" applyFill="1" applyBorder="1"/>
    <xf numFmtId="0" fontId="0" fillId="5" borderId="8" xfId="0" applyFill="1" applyBorder="1"/>
    <xf numFmtId="0" fontId="0" fillId="5" borderId="1" xfId="0" applyFill="1" applyBorder="1" applyAlignment="1">
      <alignment horizontal="center"/>
    </xf>
    <xf numFmtId="0" fontId="8" fillId="0" borderId="0" xfId="0" applyFont="1" applyAlignment="1">
      <alignment vertical="top"/>
    </xf>
    <xf numFmtId="0" fontId="7" fillId="0" borderId="0" xfId="0" applyFont="1" applyAlignment="1">
      <alignment vertical="top"/>
    </xf>
    <xf numFmtId="0" fontId="8" fillId="0" borderId="3" xfId="0" applyFont="1" applyBorder="1" applyAlignment="1">
      <alignment vertical="top"/>
    </xf>
    <xf numFmtId="0" fontId="7" fillId="0" borderId="4" xfId="0" applyFont="1" applyFill="1" applyBorder="1" applyAlignment="1">
      <alignment vertical="top" wrapText="1"/>
    </xf>
    <xf numFmtId="0" fontId="8" fillId="0" borderId="4" xfId="0" applyFont="1" applyFill="1" applyBorder="1" applyAlignment="1">
      <alignment vertical="top" wrapText="1"/>
    </xf>
    <xf numFmtId="0" fontId="8" fillId="0" borderId="4" xfId="0" applyFont="1" applyFill="1" applyBorder="1" applyAlignment="1">
      <alignment vertical="top"/>
    </xf>
    <xf numFmtId="41" fontId="8" fillId="0" borderId="4" xfId="1" applyFont="1" applyFill="1" applyBorder="1" applyAlignment="1">
      <alignment vertical="top"/>
    </xf>
    <xf numFmtId="41" fontId="8" fillId="0" borderId="4" xfId="0" applyNumberFormat="1" applyFont="1" applyFill="1" applyBorder="1" applyAlignment="1">
      <alignment vertical="top"/>
    </xf>
    <xf numFmtId="2" fontId="8" fillId="0" borderId="4" xfId="0" applyNumberFormat="1" applyFont="1" applyFill="1" applyBorder="1" applyAlignment="1">
      <alignment vertical="top"/>
    </xf>
    <xf numFmtId="0" fontId="8" fillId="0" borderId="0" xfId="0" applyFont="1" applyFill="1" applyAlignment="1">
      <alignment vertical="top"/>
    </xf>
    <xf numFmtId="0" fontId="8" fillId="0" borderId="1" xfId="0" applyFont="1" applyBorder="1" applyAlignment="1">
      <alignment vertical="top"/>
    </xf>
    <xf numFmtId="0" fontId="8" fillId="0" borderId="0" xfId="0" applyFont="1" applyAlignment="1">
      <alignment vertical="top" wrapText="1"/>
    </xf>
    <xf numFmtId="0" fontId="7" fillId="5" borderId="1" xfId="0" applyFont="1" applyFill="1" applyBorder="1" applyAlignment="1">
      <alignment horizontal="center" vertical="top"/>
    </xf>
    <xf numFmtId="0" fontId="8" fillId="8" borderId="1" xfId="0" applyFont="1" applyFill="1" applyBorder="1" applyAlignment="1">
      <alignment vertical="center"/>
    </xf>
    <xf numFmtId="0" fontId="7" fillId="8" borderId="1" xfId="0" applyFont="1" applyFill="1" applyBorder="1" applyAlignment="1">
      <alignment vertical="center" wrapText="1"/>
    </xf>
    <xf numFmtId="0" fontId="8" fillId="0" borderId="0" xfId="0" applyFont="1" applyAlignment="1">
      <alignment vertical="center"/>
    </xf>
    <xf numFmtId="0" fontId="8" fillId="6" borderId="1" xfId="0" applyFont="1" applyFill="1" applyBorder="1" applyAlignment="1">
      <alignment vertical="center"/>
    </xf>
    <xf numFmtId="0" fontId="7" fillId="6" borderId="1" xfId="0" applyFont="1" applyFill="1" applyBorder="1" applyAlignment="1">
      <alignment vertical="center" wrapText="1"/>
    </xf>
    <xf numFmtId="0" fontId="8" fillId="7" borderId="1" xfId="0" applyFont="1" applyFill="1" applyBorder="1" applyAlignment="1">
      <alignment vertical="center"/>
    </xf>
    <xf numFmtId="0" fontId="7" fillId="7" borderId="1" xfId="0" applyFont="1" applyFill="1" applyBorder="1" applyAlignment="1">
      <alignment vertical="center" wrapText="1"/>
    </xf>
    <xf numFmtId="0" fontId="8" fillId="8" borderId="2" xfId="0" applyFont="1" applyFill="1" applyBorder="1" applyAlignment="1">
      <alignment vertical="center"/>
    </xf>
    <xf numFmtId="0" fontId="8" fillId="0" borderId="0" xfId="0" applyFont="1"/>
    <xf numFmtId="0" fontId="7" fillId="8" borderId="2" xfId="0" applyFont="1" applyFill="1" applyBorder="1" applyAlignment="1">
      <alignment vertical="center" wrapText="1"/>
    </xf>
    <xf numFmtId="0" fontId="11" fillId="0" borderId="18" xfId="0" applyFont="1" applyBorder="1" applyAlignment="1">
      <alignment vertical="top" wrapText="1"/>
    </xf>
    <xf numFmtId="41" fontId="11" fillId="0" borderId="18" xfId="1" applyFont="1" applyBorder="1" applyAlignment="1">
      <alignment vertical="top" wrapText="1"/>
    </xf>
    <xf numFmtId="165" fontId="10" fillId="0" borderId="18" xfId="0" applyNumberFormat="1" applyFont="1" applyBorder="1" applyAlignment="1">
      <alignment horizontal="right" vertical="top" wrapText="1"/>
    </xf>
    <xf numFmtId="0" fontId="12" fillId="0" borderId="16" xfId="0" applyFont="1" applyBorder="1" applyAlignment="1">
      <alignment vertical="top" wrapText="1"/>
    </xf>
    <xf numFmtId="0" fontId="12" fillId="0" borderId="18" xfId="0" quotePrefix="1" applyFont="1" applyBorder="1" applyAlignment="1">
      <alignment horizontal="center" vertical="top" wrapText="1"/>
    </xf>
    <xf numFmtId="0" fontId="12" fillId="0" borderId="18" xfId="0" applyFont="1" applyBorder="1" applyAlignment="1">
      <alignment vertical="top" wrapText="1"/>
    </xf>
    <xf numFmtId="0" fontId="12" fillId="0" borderId="18" xfId="0" applyNumberFormat="1" applyFont="1" applyFill="1" applyBorder="1" applyAlignment="1">
      <alignment horizontal="left" vertical="center"/>
    </xf>
    <xf numFmtId="0" fontId="13" fillId="0" borderId="18" xfId="0" applyNumberFormat="1" applyFont="1" applyFill="1" applyBorder="1" applyAlignment="1">
      <alignment horizontal="left" vertical="center"/>
    </xf>
    <xf numFmtId="9" fontId="11" fillId="0" borderId="18" xfId="0" applyNumberFormat="1" applyFont="1" applyBorder="1" applyAlignment="1">
      <alignment vertical="top" wrapText="1"/>
    </xf>
    <xf numFmtId="41" fontId="13" fillId="0" borderId="18" xfId="1" applyFont="1" applyFill="1" applyBorder="1" applyAlignment="1">
      <alignment horizontal="left" vertical="center"/>
    </xf>
    <xf numFmtId="0" fontId="11" fillId="0" borderId="18" xfId="0" applyFont="1" applyBorder="1" applyAlignment="1">
      <alignment horizontal="right" vertical="top" wrapText="1"/>
    </xf>
    <xf numFmtId="9" fontId="11" fillId="0" borderId="18" xfId="3" applyFont="1" applyBorder="1" applyAlignment="1">
      <alignment horizontal="right" vertical="top" wrapText="1"/>
    </xf>
    <xf numFmtId="165" fontId="10" fillId="0" borderId="18" xfId="1" applyNumberFormat="1" applyFont="1" applyBorder="1" applyAlignment="1">
      <alignment vertical="top" wrapText="1"/>
    </xf>
    <xf numFmtId="41" fontId="10" fillId="0" borderId="18" xfId="0" applyNumberFormat="1" applyFont="1" applyBorder="1" applyAlignment="1">
      <alignment vertical="top" wrapText="1"/>
    </xf>
    <xf numFmtId="10" fontId="11" fillId="0" borderId="18" xfId="0" applyNumberFormat="1" applyFont="1" applyBorder="1" applyAlignment="1">
      <alignment vertical="top" wrapText="1"/>
    </xf>
    <xf numFmtId="164" fontId="11" fillId="0" borderId="18" xfId="2" applyNumberFormat="1" applyFont="1" applyBorder="1" applyAlignment="1">
      <alignment vertical="top" wrapText="1"/>
    </xf>
    <xf numFmtId="10" fontId="11" fillId="0" borderId="18" xfId="3" applyNumberFormat="1" applyFont="1" applyBorder="1" applyAlignment="1">
      <alignment vertical="top" wrapText="1"/>
    </xf>
    <xf numFmtId="0" fontId="11" fillId="0" borderId="16" xfId="0" applyFont="1" applyBorder="1" applyAlignment="1">
      <alignment vertical="top" wrapText="1"/>
    </xf>
    <xf numFmtId="0" fontId="12" fillId="0" borderId="16" xfId="0" quotePrefix="1" applyFont="1" applyBorder="1" applyAlignment="1">
      <alignment horizontal="center" vertical="top" wrapText="1"/>
    </xf>
    <xf numFmtId="0" fontId="12" fillId="0" borderId="16" xfId="0" applyNumberFormat="1" applyFont="1" applyFill="1" applyBorder="1" applyAlignment="1">
      <alignment horizontal="left" vertical="center"/>
    </xf>
    <xf numFmtId="0" fontId="13" fillId="0" borderId="16" xfId="0" applyNumberFormat="1" applyFont="1" applyFill="1" applyBorder="1" applyAlignment="1">
      <alignment horizontal="left" vertical="center"/>
    </xf>
    <xf numFmtId="9" fontId="11" fillId="0" borderId="16" xfId="0" applyNumberFormat="1" applyFont="1" applyBorder="1" applyAlignment="1">
      <alignment vertical="top" wrapText="1"/>
    </xf>
    <xf numFmtId="41" fontId="13" fillId="0" borderId="16" xfId="1" applyFont="1" applyFill="1" applyBorder="1" applyAlignment="1">
      <alignment horizontal="left" vertical="center"/>
    </xf>
    <xf numFmtId="0" fontId="11" fillId="0" borderId="16" xfId="0" applyFont="1" applyBorder="1" applyAlignment="1">
      <alignment horizontal="right" vertical="top" wrapText="1"/>
    </xf>
    <xf numFmtId="9" fontId="11" fillId="0" borderId="16" xfId="3" applyFont="1" applyBorder="1" applyAlignment="1">
      <alignment horizontal="right" vertical="top" wrapText="1"/>
    </xf>
    <xf numFmtId="41" fontId="11" fillId="0" borderId="16" xfId="1" applyFont="1" applyBorder="1" applyAlignment="1">
      <alignment vertical="top" wrapText="1"/>
    </xf>
    <xf numFmtId="165" fontId="10" fillId="0" borderId="16" xfId="1" applyNumberFormat="1" applyFont="1" applyBorder="1" applyAlignment="1">
      <alignment vertical="top" wrapText="1"/>
    </xf>
    <xf numFmtId="41" fontId="10" fillId="0" borderId="16" xfId="0" applyNumberFormat="1" applyFont="1" applyBorder="1" applyAlignment="1">
      <alignment vertical="top" wrapText="1"/>
    </xf>
    <xf numFmtId="10" fontId="11" fillId="0" borderId="16" xfId="0" applyNumberFormat="1" applyFont="1" applyBorder="1" applyAlignment="1">
      <alignment vertical="top" wrapText="1"/>
    </xf>
    <xf numFmtId="164" fontId="11" fillId="0" borderId="16" xfId="2" applyNumberFormat="1" applyFont="1" applyBorder="1" applyAlignment="1">
      <alignment vertical="top" wrapText="1"/>
    </xf>
    <xf numFmtId="165" fontId="10" fillId="0" borderId="16" xfId="0" applyNumberFormat="1" applyFont="1" applyBorder="1" applyAlignment="1">
      <alignment horizontal="right" vertical="top" wrapText="1"/>
    </xf>
    <xf numFmtId="10" fontId="11" fillId="0" borderId="16" xfId="3" applyNumberFormat="1" applyFont="1" applyBorder="1" applyAlignment="1">
      <alignment vertical="top" wrapText="1"/>
    </xf>
    <xf numFmtId="0" fontId="8" fillId="8" borderId="30" xfId="0" applyFont="1" applyFill="1" applyBorder="1" applyAlignment="1">
      <alignment vertical="center"/>
    </xf>
    <xf numFmtId="0" fontId="7" fillId="8" borderId="30" xfId="0" applyFont="1" applyFill="1" applyBorder="1" applyAlignment="1">
      <alignment vertical="center" wrapText="1"/>
    </xf>
    <xf numFmtId="0" fontId="8" fillId="0" borderId="21" xfId="0" applyFont="1" applyBorder="1" applyAlignment="1">
      <alignment vertical="top"/>
    </xf>
    <xf numFmtId="0" fontId="8" fillId="0" borderId="31" xfId="0" applyFont="1" applyBorder="1" applyAlignment="1">
      <alignment vertical="top"/>
    </xf>
    <xf numFmtId="0" fontId="14" fillId="0" borderId="17" xfId="0" applyFont="1" applyFill="1" applyBorder="1" applyAlignment="1">
      <alignment vertical="top" wrapText="1"/>
    </xf>
    <xf numFmtId="0" fontId="7" fillId="0" borderId="0" xfId="0" applyFont="1" applyFill="1" applyAlignment="1">
      <alignment vertical="top" wrapText="1"/>
    </xf>
    <xf numFmtId="2" fontId="11" fillId="0" borderId="17" xfId="0" applyNumberFormat="1" applyFont="1" applyFill="1" applyBorder="1" applyAlignment="1">
      <alignment horizontal="center" vertical="top" wrapText="1"/>
    </xf>
    <xf numFmtId="0" fontId="11" fillId="0" borderId="17" xfId="0" applyFont="1" applyFill="1" applyBorder="1" applyAlignment="1">
      <alignment vertical="top" wrapText="1"/>
    </xf>
    <xf numFmtId="0" fontId="8" fillId="0" borderId="17" xfId="0" quotePrefix="1" applyFont="1" applyBorder="1" applyAlignment="1">
      <alignment horizontal="center" vertical="top" wrapText="1"/>
    </xf>
    <xf numFmtId="0" fontId="8" fillId="0" borderId="17" xfId="0" quotePrefix="1" applyFont="1" applyFill="1" applyBorder="1" applyAlignment="1">
      <alignment horizontal="center" vertical="top" wrapText="1"/>
    </xf>
    <xf numFmtId="0" fontId="8" fillId="0" borderId="17" xfId="0" applyFont="1" applyBorder="1" applyAlignment="1">
      <alignment horizontal="center" vertical="top"/>
    </xf>
    <xf numFmtId="41" fontId="8" fillId="0" borderId="17" xfId="1" applyFont="1" applyBorder="1" applyAlignment="1">
      <alignment vertical="top" wrapText="1"/>
    </xf>
    <xf numFmtId="41" fontId="8" fillId="0" borderId="17" xfId="0" applyNumberFormat="1" applyFont="1" applyBorder="1" applyAlignment="1">
      <alignment vertical="top" wrapText="1"/>
    </xf>
    <xf numFmtId="2" fontId="8" fillId="0" borderId="17" xfId="0" applyNumberFormat="1" applyFont="1" applyBorder="1" applyAlignment="1">
      <alignment horizontal="center" vertical="top"/>
    </xf>
    <xf numFmtId="0" fontId="8" fillId="0" borderId="17" xfId="0" applyFont="1" applyBorder="1" applyAlignment="1">
      <alignment horizontal="center" vertical="top" wrapText="1"/>
    </xf>
    <xf numFmtId="41" fontId="8" fillId="0" borderId="17" xfId="0" applyNumberFormat="1" applyFont="1" applyBorder="1" applyAlignment="1">
      <alignment horizontal="center" vertical="top" wrapText="1"/>
    </xf>
    <xf numFmtId="2" fontId="8" fillId="0" borderId="17" xfId="0" applyNumberFormat="1" applyFont="1" applyBorder="1" applyAlignment="1">
      <alignment horizontal="center" vertical="top" wrapText="1"/>
    </xf>
    <xf numFmtId="166" fontId="8" fillId="0" borderId="17" xfId="1" applyNumberFormat="1" applyFont="1" applyBorder="1" applyAlignment="1">
      <alignment horizontal="center" vertical="top" wrapText="1"/>
    </xf>
    <xf numFmtId="0" fontId="8" fillId="0" borderId="17" xfId="0" applyFont="1" applyBorder="1" applyAlignment="1">
      <alignment vertical="top"/>
    </xf>
    <xf numFmtId="41" fontId="8" fillId="0" borderId="17" xfId="1" applyNumberFormat="1" applyFont="1" applyBorder="1" applyAlignment="1">
      <alignment horizontal="center" vertical="top" wrapText="1"/>
    </xf>
    <xf numFmtId="41" fontId="8" fillId="0" borderId="17" xfId="1" applyFont="1" applyBorder="1" applyAlignment="1">
      <alignment horizontal="center" vertical="top" wrapText="1"/>
    </xf>
    <xf numFmtId="0" fontId="8" fillId="0" borderId="17" xfId="0" applyFont="1" applyBorder="1" applyAlignment="1">
      <alignment vertical="top" wrapText="1"/>
    </xf>
    <xf numFmtId="0" fontId="15" fillId="0" borderId="17" xfId="0" applyFont="1" applyBorder="1" applyAlignment="1">
      <alignment horizontal="left" vertical="top" wrapText="1"/>
    </xf>
    <xf numFmtId="0" fontId="8" fillId="0" borderId="19" xfId="0" applyFont="1" applyBorder="1" applyAlignment="1">
      <alignment vertical="top" wrapText="1"/>
    </xf>
    <xf numFmtId="0" fontId="11" fillId="0" borderId="17" xfId="0" quotePrefix="1" applyFont="1" applyFill="1" applyBorder="1" applyAlignment="1">
      <alignment horizontal="center" vertical="top" wrapText="1"/>
    </xf>
    <xf numFmtId="0" fontId="8" fillId="8" borderId="32" xfId="0" applyFont="1" applyFill="1" applyBorder="1" applyAlignment="1">
      <alignment vertical="center"/>
    </xf>
    <xf numFmtId="0" fontId="7" fillId="8" borderId="32" xfId="0" applyFont="1" applyFill="1" applyBorder="1" applyAlignment="1">
      <alignment vertical="center" wrapText="1"/>
    </xf>
    <xf numFmtId="0" fontId="11" fillId="0" borderId="17" xfId="0" applyFont="1" applyFill="1" applyBorder="1" applyAlignment="1">
      <alignment horizontal="center" vertical="top" wrapText="1"/>
    </xf>
    <xf numFmtId="41" fontId="11" fillId="0" borderId="17" xfId="1" applyNumberFormat="1" applyFont="1" applyFill="1" applyBorder="1" applyAlignment="1">
      <alignment horizontal="center" vertical="top" wrapText="1"/>
    </xf>
    <xf numFmtId="41" fontId="11" fillId="0" borderId="17" xfId="1" applyFont="1" applyFill="1" applyBorder="1" applyAlignment="1">
      <alignment horizontal="center" vertical="top" wrapText="1"/>
    </xf>
    <xf numFmtId="0" fontId="11" fillId="0" borderId="17" xfId="0" applyFont="1" applyFill="1" applyBorder="1" applyAlignment="1">
      <alignment horizontal="center" vertical="top"/>
    </xf>
    <xf numFmtId="41" fontId="11" fillId="0" borderId="17" xfId="1" applyFont="1" applyFill="1" applyBorder="1" applyAlignment="1">
      <alignment vertical="top" wrapText="1"/>
    </xf>
    <xf numFmtId="41" fontId="11" fillId="0" borderId="17" xfId="0" applyNumberFormat="1" applyFont="1" applyFill="1" applyBorder="1" applyAlignment="1">
      <alignment vertical="top" wrapText="1"/>
    </xf>
    <xf numFmtId="2" fontId="11" fillId="0" borderId="17" xfId="0" applyNumberFormat="1" applyFont="1" applyFill="1" applyBorder="1" applyAlignment="1">
      <alignment horizontal="center" vertical="top"/>
    </xf>
    <xf numFmtId="41" fontId="11" fillId="0" borderId="17" xfId="0" applyNumberFormat="1" applyFont="1" applyFill="1" applyBorder="1" applyAlignment="1">
      <alignment horizontal="center" vertical="top" wrapText="1"/>
    </xf>
    <xf numFmtId="166" fontId="11" fillId="0" borderId="17" xfId="1" applyNumberFormat="1" applyFont="1" applyFill="1" applyBorder="1" applyAlignment="1">
      <alignment horizontal="center" vertical="top" wrapText="1"/>
    </xf>
    <xf numFmtId="0" fontId="7" fillId="0" borderId="0" xfId="0" applyFont="1" applyFill="1" applyAlignment="1">
      <alignment vertical="top"/>
    </xf>
    <xf numFmtId="0" fontId="11" fillId="0" borderId="17" xfId="0" applyFont="1" applyFill="1" applyBorder="1" applyAlignment="1">
      <alignment horizontal="center" vertical="center" wrapText="1"/>
    </xf>
    <xf numFmtId="0" fontId="11" fillId="0" borderId="17" xfId="0" applyFont="1" applyFill="1" applyBorder="1" applyAlignment="1">
      <alignment vertical="top"/>
    </xf>
    <xf numFmtId="166" fontId="11" fillId="0" borderId="17" xfId="0" applyNumberFormat="1" applyFont="1" applyFill="1" applyBorder="1" applyAlignment="1">
      <alignment horizontal="center" vertical="top" wrapText="1"/>
    </xf>
    <xf numFmtId="0" fontId="8" fillId="0" borderId="0" xfId="0" applyFont="1" applyAlignment="1">
      <alignment horizontal="center" vertical="top"/>
    </xf>
    <xf numFmtId="0" fontId="16" fillId="9" borderId="1" xfId="0" applyFont="1" applyFill="1" applyBorder="1" applyAlignment="1">
      <alignment horizontal="center" vertical="top"/>
    </xf>
    <xf numFmtId="0" fontId="16" fillId="9" borderId="1" xfId="0" quotePrefix="1" applyFont="1" applyFill="1" applyBorder="1" applyAlignment="1">
      <alignment horizontal="center" vertical="top"/>
    </xf>
    <xf numFmtId="0" fontId="16" fillId="9" borderId="1" xfId="0" applyFont="1" applyFill="1" applyBorder="1" applyAlignment="1">
      <alignment vertical="top" wrapText="1"/>
    </xf>
    <xf numFmtId="166" fontId="16" fillId="9" borderId="1" xfId="4" applyNumberFormat="1" applyFont="1" applyFill="1" applyBorder="1" applyAlignment="1">
      <alignment horizontal="center" vertical="top"/>
    </xf>
    <xf numFmtId="41" fontId="16" fillId="9" borderId="1" xfId="4" applyFont="1" applyFill="1" applyBorder="1" applyAlignment="1">
      <alignment horizontal="center" vertical="top"/>
    </xf>
    <xf numFmtId="41" fontId="16" fillId="9" borderId="1" xfId="4" applyFont="1" applyFill="1" applyBorder="1" applyAlignment="1">
      <alignment horizontal="right" vertical="top"/>
    </xf>
    <xf numFmtId="41" fontId="16" fillId="9" borderId="1" xfId="4" applyFont="1" applyFill="1" applyBorder="1" applyAlignment="1">
      <alignment vertical="top"/>
    </xf>
    <xf numFmtId="2" fontId="16" fillId="9" borderId="1" xfId="0" applyNumberFormat="1" applyFont="1" applyFill="1" applyBorder="1" applyAlignment="1">
      <alignment vertical="top"/>
    </xf>
    <xf numFmtId="41" fontId="16" fillId="9" borderId="1" xfId="0" applyNumberFormat="1" applyFont="1" applyFill="1" applyBorder="1" applyAlignment="1">
      <alignment vertical="top"/>
    </xf>
    <xf numFmtId="0" fontId="17" fillId="9" borderId="0" xfId="0" applyFont="1" applyFill="1" applyAlignment="1">
      <alignment vertical="center"/>
    </xf>
    <xf numFmtId="0" fontId="18" fillId="9" borderId="4" xfId="0" applyFont="1" applyFill="1" applyBorder="1" applyAlignment="1">
      <alignment horizontal="center" vertical="top"/>
    </xf>
    <xf numFmtId="0" fontId="18" fillId="9" borderId="1" xfId="0" applyFont="1" applyFill="1" applyBorder="1" applyAlignment="1">
      <alignment vertical="top" wrapText="1"/>
    </xf>
    <xf numFmtId="0" fontId="18" fillId="9" borderId="1" xfId="0" quotePrefix="1" applyFont="1" applyFill="1" applyBorder="1" applyAlignment="1">
      <alignment horizontal="center" vertical="top"/>
    </xf>
    <xf numFmtId="0" fontId="18" fillId="9" borderId="4" xfId="0" quotePrefix="1" applyFont="1" applyFill="1" applyBorder="1" applyAlignment="1">
      <alignment horizontal="center" vertical="top"/>
    </xf>
    <xf numFmtId="0" fontId="18" fillId="9" borderId="4" xfId="0" applyFont="1" applyFill="1" applyBorder="1" applyAlignment="1">
      <alignment vertical="top" wrapText="1"/>
    </xf>
    <xf numFmtId="41" fontId="18" fillId="9" borderId="4" xfId="4" applyFont="1" applyFill="1" applyBorder="1" applyAlignment="1">
      <alignment vertical="top"/>
    </xf>
    <xf numFmtId="41" fontId="18" fillId="9" borderId="4" xfId="4" quotePrefix="1" applyFont="1" applyFill="1" applyBorder="1" applyAlignment="1">
      <alignment vertical="top"/>
    </xf>
    <xf numFmtId="41" fontId="18" fillId="9" borderId="4" xfId="0" applyNumberFormat="1" applyFont="1" applyFill="1" applyBorder="1" applyAlignment="1">
      <alignment horizontal="right" vertical="top"/>
    </xf>
    <xf numFmtId="0" fontId="18" fillId="9" borderId="4" xfId="0" applyFont="1" applyFill="1" applyBorder="1" applyAlignment="1">
      <alignment vertical="top"/>
    </xf>
    <xf numFmtId="41" fontId="18" fillId="9" borderId="1" xfId="0" applyNumberFormat="1" applyFont="1" applyFill="1" applyBorder="1" applyAlignment="1">
      <alignment vertical="top"/>
    </xf>
    <xf numFmtId="2" fontId="18" fillId="9" borderId="4" xfId="0" applyNumberFormat="1" applyFont="1" applyFill="1" applyBorder="1" applyAlignment="1">
      <alignment horizontal="right" vertical="top"/>
    </xf>
    <xf numFmtId="2" fontId="18" fillId="9" borderId="4" xfId="0" applyNumberFormat="1" applyFont="1" applyFill="1" applyBorder="1" applyAlignment="1">
      <alignment vertical="top"/>
    </xf>
    <xf numFmtId="0" fontId="18" fillId="9" borderId="1" xfId="0" applyNumberFormat="1" applyFont="1" applyFill="1" applyBorder="1" applyAlignment="1">
      <alignment horizontal="center" vertical="top"/>
    </xf>
    <xf numFmtId="41" fontId="18" fillId="9" borderId="1" xfId="4" applyFont="1" applyFill="1" applyBorder="1" applyAlignment="1">
      <alignment vertical="top"/>
    </xf>
    <xf numFmtId="167" fontId="18" fillId="9" borderId="1" xfId="4" applyNumberFormat="1" applyFont="1" applyFill="1" applyBorder="1" applyAlignment="1">
      <alignment horizontal="left" vertical="top" wrapText="1"/>
    </xf>
    <xf numFmtId="167" fontId="18" fillId="9" borderId="1" xfId="4" applyNumberFormat="1" applyFont="1" applyFill="1" applyBorder="1" applyAlignment="1">
      <alignment horizontal="right" vertical="top" wrapText="1"/>
    </xf>
    <xf numFmtId="0" fontId="18" fillId="9" borderId="1" xfId="0" applyFont="1" applyFill="1" applyBorder="1" applyAlignment="1">
      <alignment vertical="top"/>
    </xf>
    <xf numFmtId="0" fontId="18" fillId="9" borderId="1" xfId="0" applyFont="1" applyFill="1" applyBorder="1" applyAlignment="1">
      <alignment horizontal="center" vertical="top" wrapText="1"/>
    </xf>
    <xf numFmtId="41" fontId="18" fillId="9" borderId="1" xfId="4" applyFont="1" applyFill="1" applyBorder="1" applyAlignment="1">
      <alignment vertical="top" wrapText="1"/>
    </xf>
    <xf numFmtId="41" fontId="18" fillId="9" borderId="1" xfId="4" applyFont="1" applyFill="1" applyBorder="1" applyAlignment="1">
      <alignment horizontal="right" vertical="top" wrapText="1"/>
    </xf>
    <xf numFmtId="168" fontId="18" fillId="9" borderId="1" xfId="0" quotePrefix="1" applyNumberFormat="1" applyFont="1" applyFill="1" applyBorder="1" applyAlignment="1">
      <alignment horizontal="center" vertical="top"/>
    </xf>
    <xf numFmtId="41" fontId="19" fillId="9" borderId="1" xfId="0" applyNumberFormat="1" applyFont="1" applyFill="1" applyBorder="1" applyAlignment="1">
      <alignment vertical="top"/>
    </xf>
    <xf numFmtId="9" fontId="18" fillId="9" borderId="1" xfId="0" applyNumberFormat="1" applyFont="1" applyFill="1" applyBorder="1" applyAlignment="1">
      <alignment horizontal="center" vertical="top"/>
    </xf>
    <xf numFmtId="0" fontId="18" fillId="9" borderId="1" xfId="0" applyFont="1" applyFill="1" applyBorder="1"/>
    <xf numFmtId="0" fontId="18" fillId="9" borderId="1" xfId="0" applyFont="1" applyFill="1" applyBorder="1" applyAlignment="1"/>
    <xf numFmtId="0" fontId="18" fillId="9" borderId="1" xfId="0" applyNumberFormat="1" applyFont="1" applyFill="1" applyBorder="1" applyAlignment="1">
      <alignment vertical="top" wrapText="1"/>
    </xf>
    <xf numFmtId="41" fontId="18" fillId="9" borderId="4" xfId="4" applyNumberFormat="1" applyFont="1" applyFill="1" applyBorder="1" applyAlignment="1">
      <alignment vertical="top"/>
    </xf>
    <xf numFmtId="41" fontId="18" fillId="9" borderId="4" xfId="0" quotePrefix="1" applyNumberFormat="1" applyFont="1" applyFill="1" applyBorder="1" applyAlignment="1">
      <alignment vertical="top"/>
    </xf>
    <xf numFmtId="41" fontId="18" fillId="0" borderId="1" xfId="4" applyFont="1" applyBorder="1" applyAlignment="1">
      <alignment vertical="top" wrapText="1"/>
    </xf>
    <xf numFmtId="0" fontId="18" fillId="9" borderId="1" xfId="0" applyFont="1" applyFill="1" applyBorder="1" applyAlignment="1">
      <alignment horizontal="left" vertical="top" wrapText="1"/>
    </xf>
    <xf numFmtId="0" fontId="18" fillId="9" borderId="1" xfId="0" quotePrefix="1" applyFont="1" applyFill="1" applyBorder="1" applyAlignment="1">
      <alignment horizontal="left" vertical="top"/>
    </xf>
    <xf numFmtId="0" fontId="18" fillId="9" borderId="4" xfId="0" quotePrefix="1" applyFont="1" applyFill="1" applyBorder="1" applyAlignment="1">
      <alignment horizontal="left" vertical="top"/>
    </xf>
    <xf numFmtId="41" fontId="18" fillId="9" borderId="1" xfId="4" applyFont="1" applyFill="1" applyBorder="1" applyAlignment="1">
      <alignment horizontal="left" vertical="top" wrapText="1"/>
    </xf>
    <xf numFmtId="41" fontId="18" fillId="9" borderId="1" xfId="0" applyNumberFormat="1" applyFont="1" applyFill="1" applyBorder="1" applyAlignment="1">
      <alignment horizontal="left" vertical="top"/>
    </xf>
    <xf numFmtId="0" fontId="17" fillId="9" borderId="13" xfId="0" applyFont="1" applyFill="1" applyBorder="1" applyAlignment="1">
      <alignment horizontal="right" vertical="center"/>
    </xf>
    <xf numFmtId="0" fontId="16" fillId="9" borderId="4" xfId="0" applyFont="1" applyFill="1" applyBorder="1" applyAlignment="1">
      <alignment horizontal="center" vertical="top"/>
    </xf>
    <xf numFmtId="0" fontId="16" fillId="9" borderId="4" xfId="0" quotePrefix="1" applyFont="1" applyFill="1" applyBorder="1" applyAlignment="1">
      <alignment horizontal="center" vertical="top"/>
    </xf>
    <xf numFmtId="0" fontId="16" fillId="9" borderId="0" xfId="0" applyNumberFormat="1" applyFont="1" applyFill="1" applyAlignment="1">
      <alignment vertical="top" wrapText="1"/>
    </xf>
    <xf numFmtId="0" fontId="16" fillId="9" borderId="4" xfId="0" applyFont="1" applyFill="1" applyBorder="1" applyAlignment="1">
      <alignment vertical="top" wrapText="1"/>
    </xf>
    <xf numFmtId="167" fontId="16" fillId="9" borderId="4" xfId="1" applyNumberFormat="1" applyFont="1" applyFill="1" applyBorder="1" applyAlignment="1">
      <alignment horizontal="center" vertical="top"/>
    </xf>
    <xf numFmtId="167" fontId="16" fillId="9" borderId="4" xfId="1" applyNumberFormat="1" applyFont="1" applyFill="1" applyBorder="1" applyAlignment="1">
      <alignment horizontal="right" vertical="top"/>
    </xf>
    <xf numFmtId="168" fontId="16" fillId="9" borderId="4" xfId="0" applyNumberFormat="1" applyFont="1" applyFill="1" applyBorder="1" applyAlignment="1">
      <alignment horizontal="center" vertical="top"/>
    </xf>
    <xf numFmtId="0" fontId="16" fillId="9" borderId="4" xfId="0" applyFont="1" applyFill="1" applyBorder="1" applyAlignment="1">
      <alignment vertical="top"/>
    </xf>
    <xf numFmtId="0" fontId="16" fillId="9" borderId="1" xfId="0" applyFont="1" applyFill="1" applyBorder="1" applyAlignment="1">
      <alignment vertical="top"/>
    </xf>
    <xf numFmtId="0" fontId="18" fillId="9" borderId="1" xfId="0" quotePrefix="1" applyNumberFormat="1" applyFont="1" applyFill="1" applyBorder="1" applyAlignment="1">
      <alignment horizontal="center" vertical="top"/>
    </xf>
    <xf numFmtId="0" fontId="17" fillId="9" borderId="11" xfId="0" applyFont="1" applyFill="1" applyBorder="1" applyAlignment="1">
      <alignment horizontal="center" vertical="center"/>
    </xf>
    <xf numFmtId="0" fontId="17" fillId="9" borderId="13" xfId="0" applyFont="1" applyFill="1" applyBorder="1" applyAlignment="1">
      <alignment horizontal="left" vertical="center" wrapText="1"/>
    </xf>
    <xf numFmtId="0" fontId="17" fillId="9" borderId="13" xfId="0" applyFont="1" applyFill="1" applyBorder="1" applyAlignment="1">
      <alignment vertical="center"/>
    </xf>
    <xf numFmtId="0" fontId="17" fillId="9" borderId="13"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3" xfId="0" applyFont="1" applyFill="1" applyBorder="1" applyAlignment="1">
      <alignment horizontal="right" vertical="center"/>
    </xf>
    <xf numFmtId="2" fontId="20" fillId="9" borderId="13" xfId="0" applyNumberFormat="1" applyFont="1" applyFill="1" applyBorder="1" applyAlignment="1">
      <alignment horizontal="center" vertical="center"/>
    </xf>
    <xf numFmtId="0" fontId="17" fillId="9" borderId="13" xfId="0" applyNumberFormat="1" applyFont="1" applyFill="1" applyBorder="1" applyAlignment="1">
      <alignment horizontal="center" vertical="center"/>
    </xf>
    <xf numFmtId="0" fontId="17" fillId="9" borderId="12" xfId="0" applyFont="1" applyFill="1" applyBorder="1" applyAlignment="1">
      <alignment vertical="center"/>
    </xf>
    <xf numFmtId="0" fontId="16" fillId="9" borderId="1" xfId="0" applyFont="1" applyFill="1" applyBorder="1" applyAlignment="1">
      <alignment horizontal="center" vertical="top" wrapText="1"/>
    </xf>
    <xf numFmtId="167" fontId="16" fillId="9" borderId="1" xfId="1" applyNumberFormat="1" applyFont="1" applyFill="1" applyBorder="1" applyAlignment="1">
      <alignment horizontal="right" vertical="top" wrapText="1"/>
    </xf>
    <xf numFmtId="2" fontId="16" fillId="9" borderId="1" xfId="0" applyNumberFormat="1" applyFont="1" applyFill="1" applyBorder="1" applyAlignment="1">
      <alignment horizontal="center" vertical="top" wrapText="1"/>
    </xf>
    <xf numFmtId="41" fontId="16" fillId="9" borderId="1" xfId="4" applyFont="1" applyFill="1" applyBorder="1" applyAlignment="1">
      <alignment horizontal="right" vertical="top" wrapText="1"/>
    </xf>
    <xf numFmtId="0" fontId="17" fillId="9" borderId="1" xfId="0" applyNumberFormat="1" applyFont="1" applyFill="1" applyBorder="1" applyAlignment="1">
      <alignment horizontal="center" vertical="top"/>
    </xf>
    <xf numFmtId="41" fontId="17" fillId="9" borderId="1" xfId="0" applyNumberFormat="1" applyFont="1" applyFill="1" applyBorder="1" applyAlignment="1">
      <alignment vertical="top"/>
    </xf>
    <xf numFmtId="0" fontId="17" fillId="9" borderId="1" xfId="0" applyFont="1" applyFill="1" applyBorder="1" applyAlignment="1">
      <alignment horizontal="center" vertical="top"/>
    </xf>
    <xf numFmtId="41" fontId="17" fillId="9" borderId="1" xfId="4" applyFont="1" applyFill="1" applyBorder="1" applyAlignment="1">
      <alignment vertical="top"/>
    </xf>
    <xf numFmtId="2" fontId="17" fillId="9" borderId="1" xfId="0" applyNumberFormat="1" applyFont="1" applyFill="1" applyBorder="1" applyAlignment="1">
      <alignment horizontal="right" vertical="top"/>
    </xf>
    <xf numFmtId="0" fontId="21" fillId="9" borderId="4" xfId="0" applyNumberFormat="1" applyFont="1" applyFill="1" applyBorder="1" applyAlignment="1">
      <alignment horizontal="center" vertical="top"/>
    </xf>
    <xf numFmtId="41" fontId="21" fillId="9" borderId="4" xfId="4" applyFont="1" applyFill="1" applyBorder="1" applyAlignment="1">
      <alignment horizontal="right" vertical="top"/>
    </xf>
    <xf numFmtId="0" fontId="21" fillId="9" borderId="2" xfId="0" applyFont="1" applyFill="1" applyBorder="1" applyAlignment="1">
      <alignment horizontal="center" vertical="top"/>
    </xf>
    <xf numFmtId="41" fontId="21" fillId="9" borderId="2" xfId="4" applyFont="1" applyFill="1" applyBorder="1" applyAlignment="1">
      <alignment horizontal="right" vertical="top"/>
    </xf>
    <xf numFmtId="2" fontId="21" fillId="9" borderId="2" xfId="0" applyNumberFormat="1" applyFont="1" applyFill="1" applyBorder="1" applyAlignment="1">
      <alignment horizontal="right" vertical="top"/>
    </xf>
    <xf numFmtId="167" fontId="18" fillId="9" borderId="4" xfId="4" quotePrefix="1" applyNumberFormat="1" applyFont="1" applyFill="1" applyBorder="1" applyAlignment="1">
      <alignment vertical="top"/>
    </xf>
    <xf numFmtId="167" fontId="18" fillId="9" borderId="1" xfId="4" applyNumberFormat="1" applyFont="1" applyFill="1" applyBorder="1" applyAlignment="1">
      <alignment horizontal="right" vertical="top"/>
    </xf>
    <xf numFmtId="167" fontId="18" fillId="9" borderId="1" xfId="4" applyNumberFormat="1" applyFont="1" applyFill="1" applyBorder="1" applyAlignment="1">
      <alignment vertical="top"/>
    </xf>
    <xf numFmtId="169" fontId="17" fillId="9" borderId="13" xfId="0" applyNumberFormat="1" applyFont="1" applyFill="1" applyBorder="1" applyAlignment="1">
      <alignment horizontal="right" vertical="center"/>
    </xf>
    <xf numFmtId="169" fontId="17" fillId="9" borderId="13" xfId="0" applyNumberFormat="1" applyFont="1" applyFill="1" applyBorder="1" applyAlignment="1">
      <alignment horizontal="center" vertical="center"/>
    </xf>
    <xf numFmtId="0" fontId="21" fillId="9" borderId="1" xfId="0" applyFont="1" applyFill="1" applyBorder="1" applyAlignment="1">
      <alignment vertical="top" wrapText="1"/>
    </xf>
    <xf numFmtId="49" fontId="21" fillId="9" borderId="1" xfId="0" quotePrefix="1" applyNumberFormat="1" applyFont="1" applyFill="1" applyBorder="1" applyAlignment="1">
      <alignment horizontal="center" vertical="top"/>
    </xf>
    <xf numFmtId="0" fontId="21" fillId="9" borderId="1" xfId="0" applyNumberFormat="1" applyFont="1" applyFill="1" applyBorder="1" applyAlignment="1">
      <alignment vertical="top" wrapText="1"/>
    </xf>
    <xf numFmtId="0" fontId="21" fillId="9" borderId="1" xfId="0" applyFont="1" applyFill="1" applyBorder="1" applyAlignment="1">
      <alignment horizontal="center" vertical="top"/>
    </xf>
    <xf numFmtId="41" fontId="21" fillId="9" borderId="1" xfId="4" applyFont="1" applyFill="1" applyBorder="1" applyAlignment="1">
      <alignment horizontal="right" vertical="top"/>
    </xf>
    <xf numFmtId="0" fontId="21" fillId="9" borderId="1" xfId="0" quotePrefix="1" applyFont="1" applyFill="1" applyBorder="1" applyAlignment="1">
      <alignment horizontal="center" vertical="top"/>
    </xf>
    <xf numFmtId="167" fontId="21" fillId="9" borderId="1" xfId="0" quotePrefix="1" applyNumberFormat="1" applyFont="1" applyFill="1" applyBorder="1" applyAlignment="1">
      <alignment horizontal="right" vertical="top"/>
    </xf>
    <xf numFmtId="41" fontId="21" fillId="9" borderId="1" xfId="0" applyNumberFormat="1" applyFont="1" applyFill="1" applyBorder="1" applyAlignment="1">
      <alignment horizontal="right" vertical="top"/>
    </xf>
    <xf numFmtId="0" fontId="21" fillId="9" borderId="2" xfId="0" applyFont="1" applyFill="1" applyBorder="1" applyAlignment="1">
      <alignment horizontal="right" vertical="top"/>
    </xf>
    <xf numFmtId="41" fontId="21" fillId="9" borderId="2" xfId="0" applyNumberFormat="1" applyFont="1" applyFill="1" applyBorder="1" applyAlignment="1">
      <alignment horizontal="right" vertical="top"/>
    </xf>
    <xf numFmtId="0" fontId="21" fillId="9" borderId="2" xfId="0" applyFont="1" applyFill="1" applyBorder="1" applyAlignment="1">
      <alignment vertical="top" wrapText="1"/>
    </xf>
    <xf numFmtId="0" fontId="21" fillId="9" borderId="0" xfId="0" applyFont="1" applyFill="1" applyAlignment="1">
      <alignment vertical="top"/>
    </xf>
    <xf numFmtId="0" fontId="21" fillId="9" borderId="1" xfId="0" applyFont="1" applyFill="1" applyBorder="1" applyAlignment="1">
      <alignment horizontal="center" vertical="top" wrapText="1"/>
    </xf>
    <xf numFmtId="0" fontId="21" fillId="9" borderId="4" xfId="0" applyFont="1" applyFill="1" applyBorder="1" applyAlignment="1">
      <alignment vertical="top" wrapText="1"/>
    </xf>
    <xf numFmtId="0" fontId="21" fillId="9" borderId="4" xfId="0" quotePrefix="1" applyFont="1" applyFill="1" applyBorder="1" applyAlignment="1">
      <alignment horizontal="center" vertical="top"/>
    </xf>
    <xf numFmtId="0" fontId="21" fillId="9" borderId="4" xfId="0" applyFont="1" applyFill="1" applyBorder="1" applyAlignment="1">
      <alignment horizontal="center" vertical="top"/>
    </xf>
    <xf numFmtId="41" fontId="21" fillId="9" borderId="4" xfId="4" applyFont="1" applyFill="1" applyBorder="1" applyAlignment="1">
      <alignment horizontal="right" vertical="top" wrapText="1"/>
    </xf>
    <xf numFmtId="41" fontId="21" fillId="9" borderId="4" xfId="0" applyNumberFormat="1" applyFont="1" applyFill="1" applyBorder="1" applyAlignment="1">
      <alignment horizontal="right" vertical="top"/>
    </xf>
    <xf numFmtId="0" fontId="21" fillId="9" borderId="4" xfId="0" applyFont="1" applyFill="1" applyBorder="1" applyAlignment="1">
      <alignment horizontal="center" vertical="top" wrapText="1"/>
    </xf>
    <xf numFmtId="0" fontId="21" fillId="9" borderId="1" xfId="0" applyFont="1" applyFill="1" applyBorder="1" applyAlignment="1">
      <alignment horizontal="right" vertical="top" wrapText="1"/>
    </xf>
    <xf numFmtId="2" fontId="21" fillId="9" borderId="1" xfId="4" applyNumberFormat="1" applyFont="1" applyFill="1" applyBorder="1" applyAlignment="1">
      <alignment horizontal="right" vertical="top" wrapText="1"/>
    </xf>
    <xf numFmtId="0" fontId="21" fillId="9" borderId="0" xfId="0" applyFont="1" applyFill="1" applyBorder="1" applyAlignment="1">
      <alignment vertical="top" wrapText="1"/>
    </xf>
    <xf numFmtId="0" fontId="21" fillId="9" borderId="0" xfId="0" applyFont="1" applyFill="1" applyAlignment="1">
      <alignment vertical="top" wrapText="1"/>
    </xf>
    <xf numFmtId="41" fontId="21" fillId="9" borderId="1" xfId="4" applyFont="1" applyFill="1" applyBorder="1" applyAlignment="1">
      <alignment horizontal="right" vertical="top" wrapText="1"/>
    </xf>
    <xf numFmtId="0" fontId="21" fillId="9" borderId="5" xfId="0" applyFont="1" applyFill="1" applyBorder="1" applyAlignment="1">
      <alignment vertical="top"/>
    </xf>
    <xf numFmtId="49" fontId="21" fillId="9" borderId="1" xfId="0" applyNumberFormat="1" applyFont="1" applyFill="1" applyBorder="1" applyAlignment="1">
      <alignment horizontal="center" vertical="top"/>
    </xf>
    <xf numFmtId="49" fontId="21" fillId="9" borderId="4" xfId="0" quotePrefix="1" applyNumberFormat="1" applyFont="1" applyFill="1" applyBorder="1" applyAlignment="1">
      <alignment horizontal="center" vertical="top"/>
    </xf>
    <xf numFmtId="0" fontId="21" fillId="9" borderId="4" xfId="0" applyNumberFormat="1" applyFont="1" applyFill="1" applyBorder="1" applyAlignment="1">
      <alignment horizontal="center" vertical="top" wrapText="1"/>
    </xf>
    <xf numFmtId="0" fontId="21" fillId="9" borderId="4" xfId="0" applyFont="1" applyFill="1" applyBorder="1" applyAlignment="1">
      <alignment horizontal="right" vertical="top" wrapText="1"/>
    </xf>
    <xf numFmtId="0" fontId="17" fillId="9" borderId="4" xfId="0" applyNumberFormat="1" applyFont="1" applyFill="1" applyBorder="1" applyAlignment="1">
      <alignment horizontal="center" vertical="top"/>
    </xf>
    <xf numFmtId="0" fontId="21" fillId="9" borderId="3" xfId="0" applyFont="1" applyFill="1" applyBorder="1" applyAlignment="1">
      <alignment horizontal="center" vertical="top"/>
    </xf>
    <xf numFmtId="41" fontId="21" fillId="9" borderId="3" xfId="4" applyFont="1" applyFill="1" applyBorder="1" applyAlignment="1">
      <alignment horizontal="right" vertical="top"/>
    </xf>
    <xf numFmtId="2" fontId="21" fillId="9" borderId="4" xfId="4" applyNumberFormat="1" applyFont="1" applyFill="1" applyBorder="1" applyAlignment="1">
      <alignment horizontal="right" vertical="top" wrapText="1"/>
    </xf>
    <xf numFmtId="0" fontId="21" fillId="9" borderId="3" xfId="0" applyFont="1" applyFill="1" applyBorder="1" applyAlignment="1">
      <alignment vertical="top" wrapText="1"/>
    </xf>
    <xf numFmtId="167" fontId="21" fillId="9" borderId="4" xfId="4" quotePrefix="1" applyNumberFormat="1" applyFont="1" applyFill="1" applyBorder="1" applyAlignment="1">
      <alignment horizontal="right" vertical="top"/>
    </xf>
    <xf numFmtId="167" fontId="21" fillId="9" borderId="1" xfId="4" applyNumberFormat="1" applyFont="1" applyFill="1" applyBorder="1" applyAlignment="1">
      <alignment horizontal="right" vertical="top"/>
    </xf>
    <xf numFmtId="41" fontId="21" fillId="9" borderId="1" xfId="4" applyFont="1" applyFill="1" applyBorder="1" applyAlignment="1">
      <alignment vertical="top" wrapText="1"/>
    </xf>
    <xf numFmtId="0" fontId="21" fillId="9" borderId="12" xfId="0" applyFont="1" applyFill="1" applyBorder="1" applyAlignment="1">
      <alignment horizontal="left" vertical="top" wrapText="1"/>
    </xf>
    <xf numFmtId="0" fontId="21" fillId="9" borderId="4" xfId="0" applyFont="1" applyFill="1" applyBorder="1" applyAlignment="1">
      <alignment horizontal="left" vertical="top" wrapText="1"/>
    </xf>
    <xf numFmtId="3" fontId="21" fillId="9" borderId="4" xfId="0" quotePrefix="1" applyNumberFormat="1" applyFont="1" applyFill="1" applyBorder="1" applyAlignment="1">
      <alignment horizontal="right" vertical="top"/>
    </xf>
    <xf numFmtId="0" fontId="21" fillId="9" borderId="1" xfId="0" applyFont="1" applyFill="1" applyBorder="1" applyAlignment="1">
      <alignment horizontal="left" vertical="top" wrapText="1"/>
    </xf>
    <xf numFmtId="164" fontId="21" fillId="9" borderId="4" xfId="2" quotePrefix="1" applyNumberFormat="1" applyFont="1" applyFill="1" applyBorder="1" applyAlignment="1">
      <alignment horizontal="right" vertical="top"/>
    </xf>
    <xf numFmtId="164" fontId="21" fillId="9" borderId="4" xfId="2" applyNumberFormat="1" applyFont="1" applyFill="1" applyBorder="1" applyAlignment="1">
      <alignment horizontal="right" vertical="top"/>
    </xf>
    <xf numFmtId="41" fontId="21" fillId="9" borderId="4" xfId="4" applyFont="1" applyFill="1" applyBorder="1" applyAlignment="1">
      <alignment vertical="top"/>
    </xf>
    <xf numFmtId="167" fontId="21" fillId="9" borderId="4" xfId="4" quotePrefix="1" applyNumberFormat="1" applyFont="1" applyFill="1" applyBorder="1" applyAlignment="1">
      <alignment vertical="top"/>
    </xf>
    <xf numFmtId="167" fontId="21" fillId="9" borderId="1" xfId="4" applyNumberFormat="1" applyFont="1" applyFill="1" applyBorder="1" applyAlignment="1">
      <alignment vertical="top"/>
    </xf>
    <xf numFmtId="0" fontId="21" fillId="9" borderId="4" xfId="0" applyFont="1" applyFill="1" applyBorder="1" applyAlignment="1">
      <alignment vertical="top"/>
    </xf>
    <xf numFmtId="41" fontId="21" fillId="9" borderId="1" xfId="0" applyNumberFormat="1" applyFont="1" applyFill="1" applyBorder="1" applyAlignment="1">
      <alignment vertical="top"/>
    </xf>
    <xf numFmtId="0" fontId="21" fillId="9" borderId="15" xfId="0" applyFont="1" applyFill="1" applyBorder="1" applyAlignment="1">
      <alignment vertical="top"/>
    </xf>
    <xf numFmtId="0" fontId="21" fillId="9" borderId="2" xfId="0" applyFont="1" applyFill="1" applyBorder="1" applyAlignment="1">
      <alignment horizontal="center" vertical="top" wrapText="1"/>
    </xf>
    <xf numFmtId="41" fontId="21" fillId="9" borderId="2" xfId="4" applyFont="1" applyFill="1" applyBorder="1" applyAlignment="1">
      <alignment horizontal="right" vertical="top" wrapText="1"/>
    </xf>
    <xf numFmtId="41" fontId="21" fillId="9" borderId="1" xfId="0" applyNumberFormat="1" applyFont="1" applyFill="1" applyBorder="1" applyAlignment="1">
      <alignment horizontal="center" vertical="top" wrapText="1"/>
    </xf>
    <xf numFmtId="0" fontId="21" fillId="9" borderId="1" xfId="0" applyNumberFormat="1" applyFont="1" applyFill="1" applyBorder="1" applyAlignment="1">
      <alignment horizontal="center" vertical="top"/>
    </xf>
    <xf numFmtId="0" fontId="17" fillId="9" borderId="1" xfId="0" applyFont="1" applyFill="1" applyBorder="1" applyAlignment="1">
      <alignment vertical="top" wrapText="1"/>
    </xf>
    <xf numFmtId="0" fontId="17" fillId="9" borderId="4" xfId="0" applyFont="1" applyFill="1" applyBorder="1" applyAlignment="1">
      <alignment horizontal="center" vertical="top"/>
    </xf>
    <xf numFmtId="0" fontId="17" fillId="9" borderId="4" xfId="0" quotePrefix="1" applyFont="1" applyFill="1" applyBorder="1" applyAlignment="1">
      <alignment horizontal="center" vertical="top"/>
    </xf>
    <xf numFmtId="0" fontId="17" fillId="9" borderId="1" xfId="0" quotePrefix="1" applyFont="1" applyFill="1" applyBorder="1" applyAlignment="1">
      <alignment horizontal="center" vertical="top"/>
    </xf>
    <xf numFmtId="166" fontId="17" fillId="9" borderId="1" xfId="4" applyNumberFormat="1" applyFont="1" applyFill="1" applyBorder="1" applyAlignment="1">
      <alignment horizontal="center" vertical="top" wrapText="1"/>
    </xf>
    <xf numFmtId="41" fontId="17" fillId="9" borderId="1" xfId="4" applyFont="1" applyFill="1" applyBorder="1" applyAlignment="1">
      <alignment horizontal="center" vertical="top" wrapText="1"/>
    </xf>
    <xf numFmtId="41" fontId="17" fillId="9" borderId="1" xfId="4" applyFont="1" applyFill="1" applyBorder="1" applyAlignment="1">
      <alignment horizontal="right" vertical="top" wrapText="1"/>
    </xf>
    <xf numFmtId="0" fontId="17" fillId="9" borderId="1" xfId="0" applyFont="1" applyFill="1" applyBorder="1" applyAlignment="1">
      <alignment horizontal="center" vertical="top" wrapText="1"/>
    </xf>
    <xf numFmtId="0" fontId="17" fillId="9" borderId="1" xfId="0" applyFont="1" applyFill="1" applyBorder="1" applyAlignment="1">
      <alignment horizontal="right" vertical="top" wrapText="1"/>
    </xf>
    <xf numFmtId="0" fontId="17" fillId="9" borderId="0" xfId="0" applyFont="1" applyFill="1" applyAlignment="1">
      <alignment vertical="top"/>
    </xf>
    <xf numFmtId="170" fontId="21" fillId="9" borderId="4" xfId="2" applyNumberFormat="1" applyFont="1" applyFill="1" applyBorder="1" applyAlignment="1">
      <alignment vertical="top"/>
    </xf>
    <xf numFmtId="41" fontId="21" fillId="9" borderId="1" xfId="0" applyNumberFormat="1" applyFont="1" applyFill="1" applyBorder="1" applyAlignment="1">
      <alignment horizontal="right" vertical="top" wrapText="1"/>
    </xf>
    <xf numFmtId="2" fontId="21" fillId="9" borderId="1" xfId="0" applyNumberFormat="1" applyFont="1" applyFill="1" applyBorder="1" applyAlignment="1">
      <alignment horizontal="right" vertical="top"/>
    </xf>
    <xf numFmtId="0" fontId="17" fillId="9" borderId="2" xfId="0" quotePrefix="1" applyFont="1" applyFill="1" applyBorder="1" applyAlignment="1">
      <alignment horizontal="center" vertical="top"/>
    </xf>
    <xf numFmtId="0" fontId="21" fillId="9" borderId="2" xfId="0" quotePrefix="1" applyFont="1" applyFill="1" applyBorder="1" applyAlignment="1">
      <alignment horizontal="center" vertical="top"/>
    </xf>
    <xf numFmtId="0" fontId="17" fillId="9" borderId="1" xfId="0" applyFont="1" applyFill="1" applyBorder="1" applyAlignment="1">
      <alignment horizontal="left" vertical="top" wrapText="1"/>
    </xf>
    <xf numFmtId="0" fontId="17" fillId="9" borderId="3" xfId="0" quotePrefix="1" applyFont="1" applyFill="1" applyBorder="1" applyAlignment="1">
      <alignment horizontal="center" vertical="top"/>
    </xf>
    <xf numFmtId="0" fontId="21" fillId="9" borderId="3" xfId="0" quotePrefix="1" applyFont="1" applyFill="1" applyBorder="1" applyAlignment="1">
      <alignment horizontal="center" vertical="top"/>
    </xf>
    <xf numFmtId="41" fontId="17" fillId="9" borderId="4" xfId="0" applyNumberFormat="1" applyFont="1" applyFill="1" applyBorder="1" applyAlignment="1">
      <alignment vertical="top"/>
    </xf>
    <xf numFmtId="0" fontId="17" fillId="9" borderId="2" xfId="0" applyFont="1" applyFill="1" applyBorder="1" applyAlignment="1">
      <alignment horizontal="center" vertical="top"/>
    </xf>
    <xf numFmtId="41" fontId="17" fillId="9" borderId="2" xfId="4" applyFont="1" applyFill="1" applyBorder="1" applyAlignment="1">
      <alignment vertical="top"/>
    </xf>
    <xf numFmtId="2" fontId="17" fillId="9" borderId="2" xfId="0" applyNumberFormat="1" applyFont="1" applyFill="1" applyBorder="1" applyAlignment="1">
      <alignment horizontal="right" vertical="top"/>
    </xf>
    <xf numFmtId="0" fontId="17" fillId="9" borderId="4" xfId="0" applyFont="1" applyFill="1" applyBorder="1" applyAlignment="1">
      <alignment horizontal="left" vertical="top" wrapText="1"/>
    </xf>
    <xf numFmtId="167" fontId="21" fillId="9" borderId="1" xfId="4" quotePrefix="1" applyNumberFormat="1" applyFont="1" applyFill="1" applyBorder="1" applyAlignment="1">
      <alignment horizontal="right" vertical="top"/>
    </xf>
    <xf numFmtId="0" fontId="21" fillId="9" borderId="1" xfId="0" applyFont="1" applyFill="1" applyBorder="1" applyAlignment="1">
      <alignment horizontal="right" vertical="top"/>
    </xf>
    <xf numFmtId="41" fontId="21" fillId="9" borderId="3" xfId="4" applyFont="1" applyFill="1" applyBorder="1" applyAlignment="1">
      <alignment vertical="top"/>
    </xf>
    <xf numFmtId="167" fontId="21" fillId="9" borderId="3" xfId="4" quotePrefix="1" applyNumberFormat="1" applyFont="1" applyFill="1" applyBorder="1" applyAlignment="1">
      <alignment vertical="top"/>
    </xf>
    <xf numFmtId="41" fontId="21" fillId="9" borderId="3" xfId="0" applyNumberFormat="1" applyFont="1" applyFill="1" applyBorder="1" applyAlignment="1">
      <alignment horizontal="right" vertical="top"/>
    </xf>
    <xf numFmtId="41" fontId="21" fillId="9" borderId="2" xfId="4" applyFont="1" applyFill="1" applyBorder="1" applyAlignment="1">
      <alignment vertical="top"/>
    </xf>
    <xf numFmtId="0" fontId="21" fillId="9" borderId="1" xfId="0" applyFont="1" applyFill="1" applyBorder="1" applyAlignment="1">
      <alignment horizontal="justify" vertical="top" wrapText="1"/>
    </xf>
    <xf numFmtId="3" fontId="21" fillId="9" borderId="1" xfId="4" applyNumberFormat="1" applyFont="1" applyFill="1" applyBorder="1" applyAlignment="1">
      <alignment horizontal="right" vertical="top"/>
    </xf>
    <xf numFmtId="3" fontId="21" fillId="9" borderId="1" xfId="0" applyNumberFormat="1" applyFont="1" applyFill="1" applyBorder="1" applyAlignment="1">
      <alignment horizontal="right" vertical="top"/>
    </xf>
    <xf numFmtId="0" fontId="21" fillId="9" borderId="1" xfId="0" applyFont="1" applyFill="1" applyBorder="1" applyAlignment="1">
      <alignment horizontal="justify" vertical="top"/>
    </xf>
    <xf numFmtId="49" fontId="17" fillId="9" borderId="2" xfId="0" applyNumberFormat="1" applyFont="1" applyFill="1" applyBorder="1" applyAlignment="1">
      <alignment horizontal="center" vertical="top"/>
    </xf>
    <xf numFmtId="0" fontId="17" fillId="9" borderId="1" xfId="0" applyNumberFormat="1" applyFont="1" applyFill="1" applyBorder="1" applyAlignment="1">
      <alignment vertical="top" wrapText="1"/>
    </xf>
    <xf numFmtId="49" fontId="21" fillId="9" borderId="2" xfId="0" applyNumberFormat="1" applyFont="1" applyFill="1" applyBorder="1" applyAlignment="1">
      <alignment horizontal="center" vertical="top"/>
    </xf>
    <xf numFmtId="49" fontId="21" fillId="9" borderId="4" xfId="0" applyNumberFormat="1" applyFont="1" applyFill="1" applyBorder="1" applyAlignment="1">
      <alignment horizontal="center" vertical="top"/>
    </xf>
    <xf numFmtId="0" fontId="21" fillId="9" borderId="2" xfId="0" applyNumberFormat="1" applyFont="1" applyFill="1" applyBorder="1" applyAlignment="1">
      <alignment vertical="top" wrapText="1"/>
    </xf>
    <xf numFmtId="0" fontId="21" fillId="9" borderId="2" xfId="0" applyFont="1" applyFill="1" applyBorder="1" applyAlignment="1">
      <alignment horizontal="right" vertical="top" wrapText="1"/>
    </xf>
    <xf numFmtId="3" fontId="21" fillId="9" borderId="1" xfId="4" applyNumberFormat="1" applyFont="1" applyFill="1" applyBorder="1" applyAlignment="1">
      <alignment horizontal="right" vertical="top" wrapText="1"/>
    </xf>
    <xf numFmtId="0" fontId="21" fillId="9" borderId="0" xfId="0" applyFont="1" applyFill="1" applyAlignment="1">
      <alignment horizontal="right" vertical="top"/>
    </xf>
    <xf numFmtId="0" fontId="21" fillId="9" borderId="1" xfId="0" applyNumberFormat="1" applyFont="1" applyFill="1" applyBorder="1" applyAlignment="1">
      <alignment horizontal="center" vertical="top" wrapText="1"/>
    </xf>
    <xf numFmtId="1" fontId="21" fillId="9" borderId="1" xfId="0" applyNumberFormat="1" applyFont="1" applyFill="1" applyBorder="1" applyAlignment="1">
      <alignment horizontal="center" vertical="top" wrapText="1"/>
    </xf>
    <xf numFmtId="0" fontId="17" fillId="9" borderId="11" xfId="0" applyFont="1" applyFill="1" applyBorder="1" applyAlignment="1">
      <alignment horizontal="left" vertical="center"/>
    </xf>
    <xf numFmtId="0" fontId="17" fillId="9" borderId="13" xfId="0" applyFont="1" applyFill="1" applyBorder="1" applyAlignment="1">
      <alignment horizontal="left" vertical="center"/>
    </xf>
    <xf numFmtId="0" fontId="21" fillId="9" borderId="13" xfId="0" applyFont="1" applyFill="1" applyBorder="1" applyAlignment="1">
      <alignment horizontal="center" vertical="center"/>
    </xf>
    <xf numFmtId="0" fontId="21" fillId="9" borderId="13" xfId="0" applyFont="1" applyFill="1" applyBorder="1" applyAlignment="1">
      <alignment horizontal="right" vertical="center"/>
    </xf>
    <xf numFmtId="0" fontId="21" fillId="9" borderId="13" xfId="0" applyNumberFormat="1" applyFont="1" applyFill="1" applyBorder="1" applyAlignment="1">
      <alignment horizontal="center" vertical="center"/>
    </xf>
    <xf numFmtId="0" fontId="21" fillId="9" borderId="12" xfId="0" applyFont="1" applyFill="1" applyBorder="1" applyAlignment="1">
      <alignment horizontal="center" vertical="center"/>
    </xf>
    <xf numFmtId="0" fontId="21" fillId="9" borderId="0" xfId="0" applyFont="1" applyFill="1" applyAlignment="1">
      <alignment vertical="center"/>
    </xf>
    <xf numFmtId="167" fontId="21" fillId="9" borderId="4" xfId="4" applyNumberFormat="1" applyFont="1" applyFill="1" applyBorder="1" applyAlignment="1">
      <alignment horizontal="right" vertical="top"/>
    </xf>
    <xf numFmtId="168" fontId="21" fillId="9" borderId="4" xfId="0" quotePrefix="1" applyNumberFormat="1" applyFont="1" applyFill="1" applyBorder="1" applyAlignment="1">
      <alignment horizontal="center" vertical="top"/>
    </xf>
    <xf numFmtId="0" fontId="21" fillId="9" borderId="4" xfId="0" applyFont="1" applyFill="1" applyBorder="1" applyAlignment="1">
      <alignment horizontal="right" vertical="top"/>
    </xf>
    <xf numFmtId="166" fontId="22" fillId="9" borderId="1" xfId="0" applyNumberFormat="1" applyFont="1" applyFill="1" applyBorder="1" applyAlignment="1">
      <alignment horizontal="right" vertical="top" wrapText="1"/>
    </xf>
    <xf numFmtId="0" fontId="21" fillId="9" borderId="4" xfId="0" quotePrefix="1" applyFont="1" applyFill="1" applyBorder="1" applyAlignment="1">
      <alignment horizontal="center" vertical="top" wrapText="1"/>
    </xf>
    <xf numFmtId="0" fontId="17" fillId="0" borderId="1" xfId="0" applyFont="1" applyFill="1" applyBorder="1" applyAlignment="1">
      <alignment horizontal="center" vertical="top"/>
    </xf>
    <xf numFmtId="49" fontId="17" fillId="0" borderId="2" xfId="0" quotePrefix="1" applyNumberFormat="1" applyFont="1" applyFill="1" applyBorder="1" applyAlignment="1">
      <alignment horizontal="center" vertical="top"/>
    </xf>
    <xf numFmtId="0" fontId="17" fillId="0" borderId="2" xfId="0" applyFont="1" applyFill="1" applyBorder="1" applyAlignment="1">
      <alignment horizontal="center" vertical="top"/>
    </xf>
    <xf numFmtId="0" fontId="17" fillId="0" borderId="1" xfId="0" applyFont="1" applyFill="1" applyBorder="1" applyAlignment="1">
      <alignment vertical="top" wrapText="1"/>
    </xf>
    <xf numFmtId="166" fontId="17" fillId="0" borderId="1" xfId="4" applyNumberFormat="1" applyFont="1" applyFill="1" applyBorder="1" applyAlignment="1">
      <alignment horizontal="center" vertical="top"/>
    </xf>
    <xf numFmtId="41" fontId="17" fillId="0" borderId="1" xfId="4" applyNumberFormat="1" applyFont="1" applyFill="1" applyBorder="1" applyAlignment="1">
      <alignment horizontal="right" vertical="top"/>
    </xf>
    <xf numFmtId="0" fontId="17" fillId="0" borderId="1" xfId="4" applyNumberFormat="1" applyFont="1" applyFill="1" applyBorder="1" applyAlignment="1">
      <alignment horizontal="center" vertical="top"/>
    </xf>
    <xf numFmtId="41" fontId="17" fillId="0" borderId="1" xfId="4" applyFont="1" applyFill="1" applyBorder="1" applyAlignment="1">
      <alignment horizontal="right" vertical="top"/>
    </xf>
    <xf numFmtId="2" fontId="17" fillId="0" borderId="1" xfId="0" applyNumberFormat="1" applyFont="1" applyFill="1" applyBorder="1" applyAlignment="1">
      <alignment horizontal="center" vertical="top"/>
    </xf>
    <xf numFmtId="41" fontId="17" fillId="0" borderId="1" xfId="0" applyNumberFormat="1" applyFont="1" applyFill="1" applyBorder="1" applyAlignment="1">
      <alignment horizontal="right" vertical="top"/>
    </xf>
    <xf numFmtId="0" fontId="17" fillId="0" borderId="1" xfId="0" applyNumberFormat="1" applyFont="1" applyFill="1" applyBorder="1" applyAlignment="1">
      <alignment horizontal="center" vertical="top"/>
    </xf>
    <xf numFmtId="2" fontId="17" fillId="0" borderId="1" xfId="0" applyNumberFormat="1" applyFont="1" applyFill="1" applyBorder="1" applyAlignment="1">
      <alignment horizontal="right" vertical="top"/>
    </xf>
    <xf numFmtId="0" fontId="17" fillId="0" borderId="0" xfId="0" applyFont="1" applyFill="1" applyAlignment="1">
      <alignment vertical="top"/>
    </xf>
    <xf numFmtId="49" fontId="17" fillId="0" borderId="3" xfId="0" quotePrefix="1" applyNumberFormat="1" applyFont="1" applyFill="1" applyBorder="1" applyAlignment="1">
      <alignment horizontal="center" vertical="top"/>
    </xf>
    <xf numFmtId="0" fontId="17" fillId="0" borderId="3" xfId="0" applyFont="1" applyFill="1" applyBorder="1" applyAlignment="1">
      <alignment horizontal="center" vertical="top"/>
    </xf>
    <xf numFmtId="166" fontId="17" fillId="0" borderId="1" xfId="4" applyNumberFormat="1" applyFont="1" applyFill="1" applyBorder="1" applyAlignment="1">
      <alignment horizontal="right" vertical="top"/>
    </xf>
    <xf numFmtId="41" fontId="17" fillId="0" borderId="2" xfId="0" applyNumberFormat="1" applyFont="1" applyFill="1" applyBorder="1" applyAlignment="1">
      <alignment horizontal="right" vertical="top"/>
    </xf>
    <xf numFmtId="41" fontId="17" fillId="0" borderId="2" xfId="4" applyFont="1" applyFill="1" applyBorder="1" applyAlignment="1">
      <alignment horizontal="right" vertical="top"/>
    </xf>
    <xf numFmtId="2" fontId="17" fillId="0" borderId="2" xfId="0" applyNumberFormat="1" applyFont="1" applyFill="1" applyBorder="1" applyAlignment="1">
      <alignment horizontal="right" vertical="top"/>
    </xf>
    <xf numFmtId="0" fontId="17" fillId="0" borderId="2" xfId="0" applyFont="1" applyFill="1" applyBorder="1" applyAlignment="1">
      <alignment vertical="top" wrapText="1"/>
    </xf>
    <xf numFmtId="2" fontId="17" fillId="0" borderId="1" xfId="4" applyNumberFormat="1" applyFont="1" applyFill="1" applyBorder="1" applyAlignment="1">
      <alignment horizontal="center" vertical="top"/>
    </xf>
    <xf numFmtId="168" fontId="17" fillId="0" borderId="1" xfId="4" applyNumberFormat="1" applyFont="1" applyFill="1" applyBorder="1" applyAlignment="1">
      <alignment horizontal="center" vertical="top"/>
    </xf>
    <xf numFmtId="49" fontId="17" fillId="0" borderId="4" xfId="0" quotePrefix="1" applyNumberFormat="1" applyFont="1" applyFill="1" applyBorder="1" applyAlignment="1">
      <alignment horizontal="center" vertical="top"/>
    </xf>
    <xf numFmtId="0" fontId="17" fillId="0" borderId="4" xfId="0" applyFont="1" applyFill="1" applyBorder="1" applyAlignment="1">
      <alignment horizontal="center" vertical="top"/>
    </xf>
    <xf numFmtId="0" fontId="17" fillId="0" borderId="4" xfId="0" applyFont="1" applyFill="1" applyBorder="1" applyAlignment="1">
      <alignment vertical="top" wrapText="1"/>
    </xf>
    <xf numFmtId="0" fontId="8" fillId="8" borderId="1" xfId="0" applyFont="1" applyFill="1" applyBorder="1" applyAlignment="1">
      <alignment horizontal="center" vertical="center"/>
    </xf>
    <xf numFmtId="0" fontId="17" fillId="0" borderId="4" xfId="0" quotePrefix="1" applyFont="1" applyFill="1" applyBorder="1" applyAlignment="1">
      <alignment horizontal="center" vertical="top"/>
    </xf>
    <xf numFmtId="0" fontId="17" fillId="0" borderId="1" xfId="0" quotePrefix="1" applyFont="1" applyFill="1" applyBorder="1" applyAlignment="1">
      <alignment horizontal="center" vertical="top"/>
    </xf>
    <xf numFmtId="41" fontId="17" fillId="0" borderId="1" xfId="4" applyFont="1" applyFill="1" applyBorder="1" applyAlignment="1">
      <alignment horizontal="center" vertical="top" wrapText="1"/>
    </xf>
    <xf numFmtId="41" fontId="17" fillId="0" borderId="1" xfId="4" applyFont="1" applyFill="1" applyBorder="1" applyAlignment="1">
      <alignment horizontal="right" vertical="top" wrapText="1"/>
    </xf>
    <xf numFmtId="0" fontId="17" fillId="0" borderId="1" xfId="0" applyFont="1" applyFill="1" applyBorder="1" applyAlignment="1">
      <alignment horizontal="center" vertical="top" wrapText="1"/>
    </xf>
    <xf numFmtId="0" fontId="17" fillId="0" borderId="1" xfId="0" applyFont="1" applyFill="1" applyBorder="1" applyAlignment="1">
      <alignment horizontal="right" vertical="top" wrapText="1"/>
    </xf>
    <xf numFmtId="41" fontId="17" fillId="0" borderId="1" xfId="0" applyNumberFormat="1" applyFont="1" applyFill="1" applyBorder="1" applyAlignment="1">
      <alignment vertical="top"/>
    </xf>
    <xf numFmtId="41" fontId="17" fillId="0" borderId="1" xfId="4" applyFont="1" applyFill="1" applyBorder="1" applyAlignment="1">
      <alignment vertical="top"/>
    </xf>
    <xf numFmtId="0" fontId="21" fillId="0" borderId="2" xfId="0" applyFont="1" applyFill="1" applyBorder="1" applyAlignment="1">
      <alignment vertical="top" wrapText="1"/>
    </xf>
    <xf numFmtId="0" fontId="17" fillId="9" borderId="3" xfId="0" applyFont="1" applyFill="1" applyBorder="1" applyAlignment="1">
      <alignment horizontal="center" vertical="top"/>
    </xf>
    <xf numFmtId="0" fontId="17" fillId="9" borderId="2" xfId="0" applyFont="1" applyFill="1" applyBorder="1" applyAlignment="1">
      <alignment vertical="top" wrapText="1"/>
    </xf>
    <xf numFmtId="0" fontId="17" fillId="9" borderId="2" xfId="0" applyNumberFormat="1" applyFont="1" applyFill="1" applyBorder="1" applyAlignment="1">
      <alignment vertical="top" wrapText="1"/>
    </xf>
    <xf numFmtId="0" fontId="17" fillId="9" borderId="4" xfId="0" applyFont="1" applyFill="1" applyBorder="1" applyAlignment="1">
      <alignment vertical="top" wrapText="1"/>
    </xf>
    <xf numFmtId="49" fontId="17" fillId="9" borderId="4" xfId="0" applyNumberFormat="1" applyFont="1" applyFill="1" applyBorder="1" applyAlignment="1">
      <alignment horizontal="center" vertical="top"/>
    </xf>
    <xf numFmtId="0" fontId="17" fillId="9" borderId="4" xfId="0" applyNumberFormat="1" applyFont="1" applyFill="1" applyBorder="1" applyAlignment="1">
      <alignment vertical="top" wrapText="1"/>
    </xf>
    <xf numFmtId="0" fontId="8" fillId="0" borderId="3" xfId="0" applyFont="1" applyBorder="1" applyAlignment="1">
      <alignment horizontal="center" vertical="top"/>
    </xf>
    <xf numFmtId="0" fontId="7" fillId="0"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vertical="top"/>
    </xf>
    <xf numFmtId="41" fontId="8" fillId="0" borderId="1" xfId="1" applyFont="1" applyFill="1" applyBorder="1" applyAlignment="1">
      <alignment vertical="top"/>
    </xf>
    <xf numFmtId="41" fontId="8" fillId="0" borderId="1" xfId="0" applyNumberFormat="1" applyFont="1" applyFill="1" applyBorder="1" applyAlignment="1">
      <alignment vertical="top"/>
    </xf>
    <xf numFmtId="1" fontId="8" fillId="0" borderId="1" xfId="0" applyNumberFormat="1" applyFont="1" applyFill="1" applyBorder="1" applyAlignment="1">
      <alignment vertical="top"/>
    </xf>
    <xf numFmtId="2" fontId="8" fillId="0" borderId="1" xfId="0" applyNumberFormat="1" applyFont="1" applyFill="1" applyBorder="1" applyAlignment="1">
      <alignment vertical="top"/>
    </xf>
    <xf numFmtId="0" fontId="8" fillId="0" borderId="1" xfId="0" applyFont="1" applyFill="1" applyBorder="1" applyAlignment="1">
      <alignment horizontal="center" vertical="top" wrapText="1"/>
    </xf>
    <xf numFmtId="0" fontId="8" fillId="0" borderId="31" xfId="0" applyFont="1" applyFill="1" applyBorder="1" applyAlignment="1">
      <alignment horizontal="center" vertical="top"/>
    </xf>
    <xf numFmtId="0" fontId="8" fillId="0" borderId="31" xfId="0" applyFont="1" applyFill="1" applyBorder="1" applyAlignment="1">
      <alignment horizontal="left" vertical="top" wrapText="1"/>
    </xf>
    <xf numFmtId="0" fontId="8" fillId="0" borderId="31" xfId="0" quotePrefix="1" applyFont="1" applyFill="1" applyBorder="1" applyAlignment="1">
      <alignment vertical="top" wrapText="1"/>
    </xf>
    <xf numFmtId="0" fontId="8" fillId="0" borderId="31" xfId="0" quotePrefix="1" applyFont="1" applyFill="1" applyBorder="1" applyAlignment="1">
      <alignment horizontal="center" vertical="top"/>
    </xf>
    <xf numFmtId="0" fontId="8" fillId="0" borderId="31" xfId="0" applyFont="1" applyFill="1" applyBorder="1" applyAlignment="1">
      <alignment vertical="top" wrapText="1"/>
    </xf>
    <xf numFmtId="0" fontId="8" fillId="0" borderId="31" xfId="0" applyFont="1" applyFill="1" applyBorder="1" applyAlignment="1">
      <alignment vertical="top"/>
    </xf>
    <xf numFmtId="41" fontId="8" fillId="0" borderId="31" xfId="1" applyFont="1" applyFill="1" applyBorder="1" applyAlignment="1">
      <alignment vertical="top"/>
    </xf>
    <xf numFmtId="41" fontId="8" fillId="0" borderId="31" xfId="0" applyNumberFormat="1" applyFont="1" applyFill="1" applyBorder="1" applyAlignment="1">
      <alignment vertical="top"/>
    </xf>
    <xf numFmtId="41" fontId="8" fillId="0" borderId="20" xfId="1" applyFont="1" applyFill="1" applyBorder="1" applyAlignment="1">
      <alignment vertical="top"/>
    </xf>
    <xf numFmtId="1" fontId="8" fillId="0" borderId="31" xfId="0" applyNumberFormat="1" applyFont="1" applyFill="1" applyBorder="1" applyAlignment="1">
      <alignment vertical="top"/>
    </xf>
    <xf numFmtId="2" fontId="8" fillId="0" borderId="20" xfId="0" applyNumberFormat="1" applyFont="1" applyFill="1" applyBorder="1" applyAlignment="1">
      <alignment vertical="top"/>
    </xf>
    <xf numFmtId="0" fontId="8" fillId="0" borderId="21" xfId="0" applyFont="1" applyFill="1" applyBorder="1" applyAlignment="1">
      <alignment horizontal="center" vertical="top"/>
    </xf>
    <xf numFmtId="0" fontId="8" fillId="0" borderId="21" xfId="0" quotePrefix="1" applyFont="1" applyFill="1" applyBorder="1" applyAlignment="1">
      <alignment vertical="top" wrapText="1"/>
    </xf>
    <xf numFmtId="0" fontId="8" fillId="0" borderId="20" xfId="0" quotePrefix="1" applyFont="1" applyFill="1" applyBorder="1" applyAlignment="1">
      <alignment horizontal="center" vertical="top"/>
    </xf>
    <xf numFmtId="0" fontId="8" fillId="0" borderId="21" xfId="0" applyFont="1" applyFill="1" applyBorder="1" applyAlignment="1">
      <alignment vertical="top" wrapText="1"/>
    </xf>
    <xf numFmtId="0" fontId="8" fillId="0" borderId="21" xfId="0" applyFont="1" applyFill="1" applyBorder="1" applyAlignment="1">
      <alignment vertical="top"/>
    </xf>
    <xf numFmtId="41" fontId="8" fillId="0" borderId="21" xfId="1" applyFont="1" applyFill="1" applyBorder="1" applyAlignment="1">
      <alignment vertical="top"/>
    </xf>
    <xf numFmtId="41" fontId="8" fillId="0" borderId="21" xfId="0" applyNumberFormat="1" applyFont="1" applyFill="1" applyBorder="1" applyAlignment="1">
      <alignment vertical="top"/>
    </xf>
    <xf numFmtId="2" fontId="8" fillId="0" borderId="21" xfId="0" applyNumberFormat="1" applyFont="1" applyFill="1" applyBorder="1" applyAlignment="1">
      <alignment vertical="top"/>
    </xf>
    <xf numFmtId="0" fontId="8" fillId="0" borderId="21" xfId="0" quotePrefix="1" applyFont="1" applyFill="1" applyBorder="1" applyAlignment="1">
      <alignment horizontal="center" vertical="top"/>
    </xf>
    <xf numFmtId="0" fontId="8" fillId="0" borderId="36" xfId="0" applyFont="1" applyFill="1" applyBorder="1" applyAlignment="1">
      <alignment horizontal="center" vertical="top"/>
    </xf>
    <xf numFmtId="0" fontId="8" fillId="0" borderId="36" xfId="0" applyFont="1" applyFill="1" applyBorder="1" applyAlignment="1">
      <alignment horizontal="left" vertical="top" wrapText="1"/>
    </xf>
    <xf numFmtId="0" fontId="8" fillId="0" borderId="36" xfId="0" quotePrefix="1" applyFont="1" applyFill="1" applyBorder="1" applyAlignment="1">
      <alignment vertical="top" wrapText="1"/>
    </xf>
    <xf numFmtId="0" fontId="8" fillId="0" borderId="36" xfId="0" applyFont="1" applyFill="1" applyBorder="1" applyAlignment="1">
      <alignment vertical="top"/>
    </xf>
    <xf numFmtId="41" fontId="8" fillId="0" borderId="36" xfId="1" applyFont="1" applyFill="1" applyBorder="1" applyAlignment="1">
      <alignment vertical="top"/>
    </xf>
    <xf numFmtId="41" fontId="8" fillId="0" borderId="36" xfId="0" applyNumberFormat="1" applyFont="1" applyFill="1" applyBorder="1" applyAlignment="1">
      <alignment vertical="top"/>
    </xf>
    <xf numFmtId="41" fontId="8" fillId="0" borderId="27" xfId="1" applyFont="1" applyFill="1" applyBorder="1" applyAlignment="1">
      <alignment vertical="top"/>
    </xf>
    <xf numFmtId="1" fontId="8" fillId="0" borderId="3" xfId="0" applyNumberFormat="1" applyFont="1" applyFill="1" applyBorder="1" applyAlignment="1">
      <alignment vertical="top"/>
    </xf>
    <xf numFmtId="2" fontId="8" fillId="0" borderId="36" xfId="0" applyNumberFormat="1" applyFont="1" applyFill="1" applyBorder="1" applyAlignment="1">
      <alignment vertical="top"/>
    </xf>
    <xf numFmtId="0" fontId="8" fillId="0" borderId="11" xfId="0" applyFont="1" applyFill="1" applyBorder="1" applyAlignment="1">
      <alignment horizontal="left" vertical="top" wrapText="1"/>
    </xf>
    <xf numFmtId="0" fontId="8" fillId="0" borderId="1" xfId="0" quotePrefix="1" applyFont="1" applyFill="1" applyBorder="1" applyAlignment="1">
      <alignment vertical="top" wrapText="1"/>
    </xf>
    <xf numFmtId="0" fontId="8" fillId="0" borderId="12" xfId="0" applyFont="1" applyFill="1" applyBorder="1" applyAlignment="1">
      <alignment vertical="top"/>
    </xf>
    <xf numFmtId="0" fontId="8" fillId="0" borderId="37" xfId="0" applyFont="1" applyFill="1" applyBorder="1" applyAlignment="1">
      <alignment horizontal="left" vertical="top" wrapText="1"/>
    </xf>
    <xf numFmtId="0" fontId="8" fillId="0" borderId="2" xfId="0" quotePrefix="1" applyFont="1" applyFill="1" applyBorder="1" applyAlignment="1">
      <alignment vertical="top" wrapText="1"/>
    </xf>
    <xf numFmtId="0" fontId="8" fillId="0" borderId="38" xfId="0" applyFont="1" applyFill="1" applyBorder="1" applyAlignment="1">
      <alignment vertical="top"/>
    </xf>
    <xf numFmtId="0" fontId="8" fillId="0" borderId="20" xfId="0" applyFont="1" applyFill="1" applyBorder="1" applyAlignment="1">
      <alignment vertical="top"/>
    </xf>
    <xf numFmtId="0" fontId="8" fillId="0" borderId="22" xfId="0" applyFont="1" applyFill="1" applyBorder="1" applyAlignment="1">
      <alignment horizontal="left" vertical="top" wrapText="1"/>
    </xf>
    <xf numFmtId="0" fontId="8" fillId="0" borderId="3" xfId="0" quotePrefix="1" applyFont="1" applyFill="1" applyBorder="1" applyAlignment="1">
      <alignment vertical="top" wrapText="1"/>
    </xf>
    <xf numFmtId="0" fontId="8" fillId="0" borderId="23" xfId="0" applyFont="1" applyFill="1" applyBorder="1" applyAlignment="1">
      <alignment vertical="top"/>
    </xf>
    <xf numFmtId="0" fontId="8" fillId="0" borderId="4" xfId="0" quotePrefix="1" applyFont="1" applyFill="1" applyBorder="1" applyAlignment="1">
      <alignment vertical="top" wrapText="1"/>
    </xf>
    <xf numFmtId="0" fontId="8" fillId="0" borderId="27" xfId="0" applyFont="1" applyFill="1" applyBorder="1" applyAlignment="1">
      <alignment vertical="top"/>
    </xf>
    <xf numFmtId="2" fontId="8" fillId="0" borderId="27" xfId="0" applyNumberFormat="1" applyFont="1" applyFill="1" applyBorder="1" applyAlignment="1">
      <alignment vertical="top"/>
    </xf>
    <xf numFmtId="0" fontId="8" fillId="0" borderId="2" xfId="0" applyFont="1" applyFill="1" applyBorder="1" applyAlignment="1">
      <alignment vertical="top" wrapText="1"/>
    </xf>
    <xf numFmtId="41" fontId="8" fillId="0" borderId="2" xfId="1" applyFont="1" applyFill="1" applyBorder="1" applyAlignment="1">
      <alignment vertical="top"/>
    </xf>
    <xf numFmtId="3" fontId="8" fillId="0" borderId="2" xfId="0" quotePrefix="1" applyNumberFormat="1" applyFont="1" applyFill="1" applyBorder="1" applyAlignment="1">
      <alignment vertical="top"/>
    </xf>
    <xf numFmtId="41" fontId="8" fillId="0" borderId="2" xfId="0" applyNumberFormat="1" applyFont="1" applyFill="1" applyBorder="1" applyAlignment="1">
      <alignment vertical="top"/>
    </xf>
    <xf numFmtId="0" fontId="8" fillId="0" borderId="2" xfId="0" quotePrefix="1" applyFont="1" applyFill="1" applyBorder="1" applyAlignment="1">
      <alignment vertical="top"/>
    </xf>
    <xf numFmtId="41" fontId="8" fillId="0" borderId="2" xfId="1" applyNumberFormat="1" applyFont="1" applyFill="1" applyBorder="1" applyAlignment="1">
      <alignment vertical="top"/>
    </xf>
    <xf numFmtId="0" fontId="8" fillId="0" borderId="2" xfId="0" applyFont="1" applyFill="1" applyBorder="1" applyAlignment="1">
      <alignment vertical="top"/>
    </xf>
    <xf numFmtId="1" fontId="8" fillId="0" borderId="2" xfId="0" applyNumberFormat="1" applyFont="1" applyFill="1" applyBorder="1" applyAlignment="1">
      <alignment vertical="top"/>
    </xf>
    <xf numFmtId="2" fontId="8" fillId="0" borderId="2" xfId="0" applyNumberFormat="1" applyFont="1" applyFill="1" applyBorder="1" applyAlignment="1">
      <alignment vertical="top"/>
    </xf>
    <xf numFmtId="171" fontId="8" fillId="0" borderId="4" xfId="0" quotePrefix="1" applyNumberFormat="1" applyFont="1" applyFill="1" applyBorder="1" applyAlignment="1">
      <alignment vertical="top"/>
    </xf>
    <xf numFmtId="0" fontId="8" fillId="0" borderId="4" xfId="0" quotePrefix="1" applyFont="1" applyFill="1" applyBorder="1" applyAlignment="1">
      <alignment vertical="top"/>
    </xf>
    <xf numFmtId="165" fontId="8" fillId="0" borderId="4" xfId="1" applyNumberFormat="1" applyFont="1" applyFill="1" applyBorder="1" applyAlignment="1">
      <alignment vertical="top"/>
    </xf>
    <xf numFmtId="1" fontId="8" fillId="0" borderId="4" xfId="0" applyNumberFormat="1" applyFont="1" applyFill="1" applyBorder="1" applyAlignment="1">
      <alignment vertical="top"/>
    </xf>
    <xf numFmtId="0" fontId="8" fillId="0" borderId="31" xfId="0" applyFont="1" applyFill="1" applyBorder="1" applyAlignment="1">
      <alignment vertical="center" wrapText="1"/>
    </xf>
    <xf numFmtId="0" fontId="8" fillId="0" borderId="37" xfId="0" quotePrefix="1" applyFont="1" applyFill="1" applyBorder="1" applyAlignment="1">
      <alignment horizontal="center" vertical="top"/>
    </xf>
    <xf numFmtId="0" fontId="8" fillId="0" borderId="39" xfId="0" quotePrefix="1" applyFont="1" applyFill="1" applyBorder="1" applyAlignment="1">
      <alignment vertical="top" wrapText="1"/>
    </xf>
    <xf numFmtId="0" fontId="8" fillId="0" borderId="38" xfId="0" applyFont="1" applyFill="1" applyBorder="1" applyAlignment="1">
      <alignment horizontal="left" vertical="top" wrapText="1"/>
    </xf>
    <xf numFmtId="3" fontId="8" fillId="0" borderId="31" xfId="0" quotePrefix="1" applyNumberFormat="1" applyFont="1" applyFill="1" applyBorder="1" applyAlignment="1">
      <alignment vertical="top"/>
    </xf>
    <xf numFmtId="0" fontId="8" fillId="0" borderId="31" xfId="0" quotePrefix="1" applyFont="1" applyFill="1" applyBorder="1" applyAlignment="1">
      <alignment vertical="top"/>
    </xf>
    <xf numFmtId="41" fontId="8" fillId="0" borderId="31" xfId="1" applyNumberFormat="1" applyFont="1" applyFill="1" applyBorder="1" applyAlignment="1">
      <alignment vertical="top"/>
    </xf>
    <xf numFmtId="2" fontId="8" fillId="0" borderId="31" xfId="0" applyNumberFormat="1" applyFont="1" applyFill="1" applyBorder="1" applyAlignment="1">
      <alignment vertical="top"/>
    </xf>
    <xf numFmtId="0" fontId="8" fillId="0" borderId="21" xfId="0" applyFont="1" applyFill="1" applyBorder="1" applyAlignment="1">
      <alignment vertical="center" wrapText="1"/>
    </xf>
    <xf numFmtId="0" fontId="8" fillId="0" borderId="22" xfId="0" quotePrefix="1" applyFont="1" applyFill="1" applyBorder="1" applyAlignment="1">
      <alignment horizontal="center" vertical="top"/>
    </xf>
    <xf numFmtId="0" fontId="8" fillId="0" borderId="25" xfId="0" quotePrefix="1" applyFont="1" applyFill="1" applyBorder="1" applyAlignment="1">
      <alignment vertical="top" wrapText="1"/>
    </xf>
    <xf numFmtId="0" fontId="8" fillId="0" borderId="26" xfId="0" applyFont="1" applyFill="1" applyBorder="1" applyAlignment="1">
      <alignment horizontal="left" vertical="top" wrapText="1"/>
    </xf>
    <xf numFmtId="3" fontId="8" fillId="0" borderId="21" xfId="0" quotePrefix="1" applyNumberFormat="1" applyFont="1" applyFill="1" applyBorder="1" applyAlignment="1">
      <alignment vertical="top"/>
    </xf>
    <xf numFmtId="0" fontId="8" fillId="0" borderId="21" xfId="0" quotePrefix="1" applyFont="1" applyFill="1" applyBorder="1" applyAlignment="1">
      <alignment vertical="top"/>
    </xf>
    <xf numFmtId="41" fontId="8" fillId="0" borderId="21" xfId="1" applyNumberFormat="1" applyFont="1" applyFill="1" applyBorder="1" applyAlignment="1">
      <alignment vertical="top"/>
    </xf>
    <xf numFmtId="0" fontId="8" fillId="0" borderId="24" xfId="0" applyFont="1" applyFill="1" applyBorder="1" applyAlignment="1">
      <alignment horizontal="left" vertical="top" wrapText="1"/>
    </xf>
    <xf numFmtId="0" fontId="8" fillId="0" borderId="36" xfId="0" applyFont="1" applyFill="1" applyBorder="1" applyAlignment="1">
      <alignment vertical="center" wrapText="1"/>
    </xf>
    <xf numFmtId="0" fontId="8" fillId="0" borderId="40"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36" xfId="0" applyFont="1" applyFill="1" applyBorder="1" applyAlignment="1">
      <alignment vertical="top" wrapText="1"/>
    </xf>
    <xf numFmtId="3" fontId="8" fillId="0" borderId="36" xfId="0" quotePrefix="1" applyNumberFormat="1" applyFont="1" applyFill="1" applyBorder="1" applyAlignment="1">
      <alignment vertical="top"/>
    </xf>
    <xf numFmtId="0" fontId="8" fillId="0" borderId="36" xfId="0" quotePrefix="1" applyFont="1" applyFill="1" applyBorder="1" applyAlignment="1">
      <alignment vertical="top"/>
    </xf>
    <xf numFmtId="165" fontId="8" fillId="0" borderId="36" xfId="1" applyNumberFormat="1" applyFont="1" applyFill="1" applyBorder="1" applyAlignment="1">
      <alignment vertical="top"/>
    </xf>
    <xf numFmtId="0" fontId="8" fillId="0" borderId="36" xfId="0" quotePrefix="1" applyFont="1" applyFill="1" applyBorder="1" applyAlignment="1">
      <alignment horizontal="center" vertical="top"/>
    </xf>
    <xf numFmtId="0" fontId="8" fillId="0" borderId="42" xfId="0" quotePrefix="1" applyFont="1" applyFill="1" applyBorder="1" applyAlignment="1">
      <alignment horizontal="center" vertical="top"/>
    </xf>
    <xf numFmtId="0" fontId="8" fillId="0" borderId="43" xfId="0" quotePrefix="1" applyFont="1" applyFill="1" applyBorder="1" applyAlignment="1">
      <alignment vertical="top" wrapText="1"/>
    </xf>
    <xf numFmtId="41" fontId="8" fillId="0" borderId="36" xfId="1" applyNumberFormat="1" applyFont="1" applyFill="1" applyBorder="1" applyAlignment="1">
      <alignment vertical="top"/>
    </xf>
    <xf numFmtId="0" fontId="8" fillId="0" borderId="21" xfId="0" applyFont="1" applyFill="1" applyBorder="1" applyAlignment="1">
      <alignment wrapText="1"/>
    </xf>
    <xf numFmtId="41" fontId="8" fillId="0" borderId="21" xfId="1" applyFont="1" applyFill="1" applyBorder="1" applyAlignment="1">
      <alignment vertical="top" wrapText="1"/>
    </xf>
    <xf numFmtId="0" fontId="8" fillId="0" borderId="0" xfId="0" applyFont="1" applyFill="1" applyAlignment="1">
      <alignment vertical="top" wrapText="1"/>
    </xf>
    <xf numFmtId="0" fontId="8" fillId="0" borderId="27" xfId="0" applyFont="1" applyFill="1" applyBorder="1" applyAlignment="1">
      <alignment vertical="top" wrapText="1"/>
    </xf>
    <xf numFmtId="0" fontId="8" fillId="0" borderId="27" xfId="0" quotePrefix="1" applyFont="1" applyFill="1" applyBorder="1" applyAlignment="1">
      <alignment horizontal="center" vertical="top"/>
    </xf>
    <xf numFmtId="0" fontId="8" fillId="0" borderId="28" xfId="0" quotePrefix="1" applyFont="1" applyFill="1" applyBorder="1" applyAlignment="1">
      <alignment horizontal="center" vertical="top"/>
    </xf>
    <xf numFmtId="0" fontId="8" fillId="0" borderId="29" xfId="0" quotePrefix="1" applyFont="1" applyFill="1" applyBorder="1" applyAlignment="1">
      <alignment vertical="top" wrapText="1"/>
    </xf>
    <xf numFmtId="0" fontId="8" fillId="0" borderId="44" xfId="0" applyFont="1" applyFill="1" applyBorder="1" applyAlignment="1">
      <alignment horizontal="left" vertical="top" wrapText="1"/>
    </xf>
    <xf numFmtId="0" fontId="8" fillId="0" borderId="45" xfId="0" applyFont="1" applyFill="1" applyBorder="1" applyAlignment="1">
      <alignment horizontal="left" vertical="top" wrapText="1"/>
    </xf>
    <xf numFmtId="41" fontId="8" fillId="0" borderId="27" xfId="1" applyFont="1" applyFill="1" applyBorder="1" applyAlignment="1">
      <alignment vertical="top" wrapText="1"/>
    </xf>
    <xf numFmtId="0" fontId="8" fillId="0" borderId="20" xfId="0" quotePrefix="1" applyFont="1" applyFill="1" applyBorder="1" applyAlignment="1">
      <alignment vertical="top" wrapText="1"/>
    </xf>
    <xf numFmtId="0" fontId="8" fillId="0" borderId="20" xfId="0" applyFont="1" applyFill="1" applyBorder="1" applyAlignment="1">
      <alignment vertical="top" wrapText="1"/>
    </xf>
    <xf numFmtId="41" fontId="8" fillId="0" borderId="20" xfId="1" applyFont="1" applyFill="1" applyBorder="1" applyAlignment="1">
      <alignment vertical="top" wrapText="1"/>
    </xf>
    <xf numFmtId="1" fontId="8" fillId="0" borderId="20" xfId="0" applyNumberFormat="1" applyFont="1" applyFill="1" applyBorder="1" applyAlignment="1">
      <alignment vertical="top"/>
    </xf>
    <xf numFmtId="1" fontId="8" fillId="0" borderId="21" xfId="0" applyNumberFormat="1" applyFont="1" applyFill="1" applyBorder="1" applyAlignment="1">
      <alignment vertical="top"/>
    </xf>
    <xf numFmtId="0" fontId="8" fillId="0" borderId="27" xfId="0" quotePrefix="1" applyFont="1" applyFill="1" applyBorder="1" applyAlignment="1">
      <alignment vertical="top" wrapText="1"/>
    </xf>
    <xf numFmtId="1" fontId="8" fillId="0" borderId="27" xfId="0" applyNumberFormat="1" applyFont="1" applyFill="1" applyBorder="1" applyAlignment="1">
      <alignment vertical="top"/>
    </xf>
    <xf numFmtId="0" fontId="8" fillId="0" borderId="27" xfId="0" applyFont="1" applyFill="1" applyBorder="1" applyAlignment="1">
      <alignment horizontal="center" vertical="top" wrapText="1"/>
    </xf>
    <xf numFmtId="41" fontId="8" fillId="0" borderId="31" xfId="1" applyFont="1" applyFill="1" applyBorder="1" applyAlignment="1">
      <alignment vertical="top" wrapText="1"/>
    </xf>
    <xf numFmtId="0" fontId="8" fillId="0" borderId="21" xfId="0" applyFont="1" applyFill="1" applyBorder="1" applyAlignment="1">
      <alignment horizontal="right" vertical="top" wrapText="1"/>
    </xf>
    <xf numFmtId="2" fontId="7" fillId="0" borderId="1" xfId="0" applyNumberFormat="1" applyFont="1" applyFill="1" applyBorder="1" applyAlignment="1">
      <alignment vertical="top"/>
    </xf>
    <xf numFmtId="0" fontId="8" fillId="0" borderId="0" xfId="0" applyFont="1" applyFill="1"/>
    <xf numFmtId="0" fontId="7" fillId="0" borderId="1" xfId="0" applyFont="1" applyFill="1" applyBorder="1" applyAlignment="1">
      <alignment horizontal="center" vertical="top"/>
    </xf>
    <xf numFmtId="41" fontId="9" fillId="0" borderId="1" xfId="0" applyNumberFormat="1" applyFont="1" applyFill="1" applyBorder="1"/>
    <xf numFmtId="0" fontId="8" fillId="0" borderId="1" xfId="0" applyFont="1" applyFill="1" applyBorder="1"/>
    <xf numFmtId="0" fontId="7" fillId="0" borderId="0" xfId="0" applyFont="1" applyFill="1"/>
    <xf numFmtId="0" fontId="7" fillId="0" borderId="3" xfId="0" applyFont="1" applyBorder="1"/>
    <xf numFmtId="0" fontId="8" fillId="9" borderId="46" xfId="0" applyFont="1" applyFill="1" applyBorder="1" applyAlignment="1">
      <alignment vertical="top" wrapText="1"/>
    </xf>
    <xf numFmtId="0" fontId="8" fillId="9" borderId="46" xfId="0" quotePrefix="1" applyFont="1" applyFill="1" applyBorder="1" applyAlignment="1">
      <alignment vertical="top" wrapText="1"/>
    </xf>
    <xf numFmtId="0" fontId="15" fillId="9" borderId="46" xfId="0" applyFont="1" applyFill="1" applyBorder="1" applyAlignment="1">
      <alignment vertical="top" wrapText="1"/>
    </xf>
    <xf numFmtId="0" fontId="8" fillId="9" borderId="46" xfId="0" applyFont="1" applyFill="1" applyBorder="1" applyAlignment="1">
      <alignment horizontal="center" vertical="top" wrapText="1"/>
    </xf>
    <xf numFmtId="41" fontId="8" fillId="9" borderId="46" xfId="1" applyFont="1" applyFill="1" applyBorder="1" applyAlignment="1">
      <alignment vertical="top" wrapText="1"/>
    </xf>
    <xf numFmtId="1" fontId="8" fillId="9" borderId="46" xfId="0" applyNumberFormat="1" applyFont="1" applyFill="1" applyBorder="1" applyAlignment="1">
      <alignment horizontal="center" vertical="top" wrapText="1"/>
    </xf>
    <xf numFmtId="2" fontId="8" fillId="9" borderId="46" xfId="0" applyNumberFormat="1" applyFont="1" applyFill="1" applyBorder="1" applyAlignment="1">
      <alignment horizontal="center" vertical="top" wrapText="1"/>
    </xf>
    <xf numFmtId="166" fontId="8" fillId="9" borderId="46" xfId="0" applyNumberFormat="1" applyFont="1" applyFill="1" applyBorder="1" applyAlignment="1">
      <alignment vertical="top" wrapText="1"/>
    </xf>
    <xf numFmtId="166" fontId="8" fillId="9" borderId="46" xfId="1" applyNumberFormat="1" applyFont="1" applyFill="1" applyBorder="1" applyAlignment="1">
      <alignment vertical="top" wrapText="1"/>
    </xf>
    <xf numFmtId="1" fontId="8" fillId="9" borderId="46" xfId="0" applyNumberFormat="1" applyFont="1" applyFill="1" applyBorder="1" applyAlignment="1">
      <alignment vertical="top" wrapText="1"/>
    </xf>
    <xf numFmtId="41" fontId="8" fillId="9" borderId="46" xfId="0" applyNumberFormat="1" applyFont="1" applyFill="1" applyBorder="1" applyAlignment="1">
      <alignment vertical="top" wrapText="1"/>
    </xf>
    <xf numFmtId="2" fontId="8" fillId="9" borderId="46" xfId="0" applyNumberFormat="1" applyFont="1" applyFill="1" applyBorder="1" applyAlignment="1">
      <alignment vertical="top" wrapText="1"/>
    </xf>
    <xf numFmtId="0" fontId="8" fillId="0" borderId="3" xfId="0" applyFont="1" applyBorder="1"/>
    <xf numFmtId="43" fontId="8" fillId="9" borderId="46" xfId="0" applyNumberFormat="1" applyFont="1" applyFill="1" applyBorder="1" applyAlignment="1">
      <alignment vertical="top" wrapText="1"/>
    </xf>
    <xf numFmtId="0" fontId="8" fillId="9" borderId="47" xfId="0" applyFont="1" applyFill="1" applyBorder="1" applyAlignment="1">
      <alignment vertical="top" wrapText="1"/>
    </xf>
    <xf numFmtId="41" fontId="8" fillId="9" borderId="46" xfId="1" applyFont="1" applyFill="1" applyBorder="1" applyAlignment="1">
      <alignment horizontal="center" vertical="top" wrapText="1"/>
    </xf>
    <xf numFmtId="0" fontId="7" fillId="9" borderId="46" xfId="0" applyFont="1" applyFill="1" applyBorder="1" applyAlignment="1">
      <alignment vertical="top" wrapText="1"/>
    </xf>
    <xf numFmtId="0" fontId="23" fillId="9" borderId="46" xfId="0" applyFont="1" applyFill="1" applyBorder="1" applyAlignment="1">
      <alignment vertical="top" wrapText="1"/>
    </xf>
    <xf numFmtId="0" fontId="8" fillId="9" borderId="3" xfId="0" applyFont="1" applyFill="1" applyBorder="1" applyAlignment="1">
      <alignment vertical="top" wrapText="1"/>
    </xf>
    <xf numFmtId="0" fontId="8" fillId="9" borderId="46" xfId="1" applyNumberFormat="1" applyFont="1" applyFill="1" applyBorder="1" applyAlignment="1">
      <alignment horizontal="center" vertical="top" wrapText="1"/>
    </xf>
    <xf numFmtId="166" fontId="8" fillId="9" borderId="46" xfId="1" applyNumberFormat="1" applyFont="1" applyFill="1" applyBorder="1" applyAlignment="1">
      <alignment horizontal="center" vertical="top" wrapText="1"/>
    </xf>
    <xf numFmtId="41" fontId="8" fillId="9" borderId="46" xfId="1" applyNumberFormat="1" applyFont="1" applyFill="1" applyBorder="1" applyAlignment="1">
      <alignment vertical="top" wrapText="1"/>
    </xf>
    <xf numFmtId="0" fontId="8" fillId="9" borderId="46" xfId="0" applyFont="1" applyFill="1" applyBorder="1" applyAlignment="1">
      <alignment horizontal="right" vertical="top" wrapText="1"/>
    </xf>
    <xf numFmtId="41" fontId="7" fillId="9" borderId="46" xfId="1" applyFont="1" applyFill="1" applyBorder="1" applyAlignment="1">
      <alignment horizontal="center" vertical="top" wrapText="1"/>
    </xf>
    <xf numFmtId="41" fontId="7" fillId="9" borderId="46" xfId="1" applyFont="1" applyFill="1" applyBorder="1" applyAlignment="1">
      <alignment vertical="top" wrapText="1"/>
    </xf>
    <xf numFmtId="0" fontId="8" fillId="9" borderId="46" xfId="0" quotePrefix="1" applyFont="1" applyFill="1" applyBorder="1" applyAlignment="1">
      <alignment horizontal="left" vertical="top" wrapText="1"/>
    </xf>
    <xf numFmtId="0" fontId="8" fillId="9" borderId="47" xfId="0" quotePrefix="1" applyFont="1" applyFill="1" applyBorder="1" applyAlignment="1">
      <alignment vertical="top" wrapText="1"/>
    </xf>
    <xf numFmtId="0" fontId="15" fillId="9" borderId="47" xfId="0" applyFont="1" applyFill="1" applyBorder="1" applyAlignment="1">
      <alignment vertical="top" wrapText="1"/>
    </xf>
    <xf numFmtId="2" fontId="7" fillId="0" borderId="49" xfId="0" applyNumberFormat="1" applyFont="1" applyBorder="1" applyAlignment="1">
      <alignment horizontal="center" vertical="top" wrapText="1"/>
    </xf>
    <xf numFmtId="41" fontId="8" fillId="0" borderId="49" xfId="0" applyNumberFormat="1" applyFont="1" applyBorder="1" applyAlignment="1">
      <alignment vertical="top" wrapText="1"/>
    </xf>
    <xf numFmtId="41" fontId="8" fillId="0" borderId="49" xfId="1" applyFont="1" applyBorder="1" applyAlignment="1">
      <alignment vertical="top" wrapText="1"/>
    </xf>
    <xf numFmtId="41" fontId="7" fillId="0" borderId="49" xfId="1" applyFont="1" applyBorder="1" applyAlignment="1">
      <alignment horizontal="center" vertical="top" wrapText="1"/>
    </xf>
    <xf numFmtId="0" fontId="7" fillId="0" borderId="50" xfId="0" quotePrefix="1" applyFont="1" applyFill="1" applyBorder="1" applyAlignment="1">
      <alignment vertical="top" wrapText="1"/>
    </xf>
    <xf numFmtId="0" fontId="23" fillId="0" borderId="50" xfId="0" applyFont="1" applyFill="1" applyBorder="1" applyAlignment="1">
      <alignment horizontal="left" vertical="top" wrapText="1"/>
    </xf>
    <xf numFmtId="0" fontId="7" fillId="0" borderId="50" xfId="0" applyFont="1" applyFill="1" applyBorder="1" applyAlignment="1">
      <alignment vertical="top" wrapText="1"/>
    </xf>
    <xf numFmtId="0" fontId="23" fillId="0" borderId="50" xfId="0" applyFont="1" applyFill="1" applyBorder="1" applyAlignment="1">
      <alignment vertical="top" wrapText="1"/>
    </xf>
    <xf numFmtId="0" fontId="8" fillId="0" borderId="50" xfId="0" applyFont="1" applyFill="1" applyBorder="1" applyAlignment="1">
      <alignment horizontal="center" vertical="top" wrapText="1"/>
    </xf>
    <xf numFmtId="41" fontId="8" fillId="0" borderId="50" xfId="1" applyFont="1" applyFill="1" applyBorder="1" applyAlignment="1">
      <alignment horizontal="center" vertical="top" wrapText="1"/>
    </xf>
    <xf numFmtId="1" fontId="8" fillId="0" borderId="50" xfId="0" applyNumberFormat="1" applyFont="1" applyFill="1" applyBorder="1" applyAlignment="1">
      <alignment horizontal="center" vertical="top" wrapText="1"/>
    </xf>
    <xf numFmtId="41" fontId="8" fillId="0" borderId="50" xfId="1" applyFont="1" applyFill="1" applyBorder="1" applyAlignment="1">
      <alignment vertical="top" wrapText="1"/>
    </xf>
    <xf numFmtId="166" fontId="8" fillId="0" borderId="50" xfId="1" applyNumberFormat="1" applyFont="1" applyFill="1" applyBorder="1" applyAlignment="1">
      <alignment vertical="top" wrapText="1"/>
    </xf>
    <xf numFmtId="41" fontId="8" fillId="0" borderId="50" xfId="1" applyNumberFormat="1" applyFont="1" applyFill="1" applyBorder="1" applyAlignment="1">
      <alignment horizontal="center" vertical="top" wrapText="1"/>
    </xf>
    <xf numFmtId="41" fontId="8" fillId="0" borderId="50" xfId="1" applyNumberFormat="1" applyFont="1" applyFill="1" applyBorder="1" applyAlignment="1">
      <alignment vertical="top" wrapText="1"/>
    </xf>
    <xf numFmtId="41" fontId="8" fillId="0" borderId="50" xfId="0" applyNumberFormat="1" applyFont="1" applyFill="1" applyBorder="1" applyAlignment="1">
      <alignment vertical="top" wrapText="1"/>
    </xf>
    <xf numFmtId="2" fontId="8" fillId="0" borderId="50" xfId="0" applyNumberFormat="1" applyFont="1" applyFill="1" applyBorder="1" applyAlignment="1">
      <alignment vertical="top" wrapText="1"/>
    </xf>
    <xf numFmtId="0" fontId="7" fillId="0" borderId="3" xfId="0" applyFont="1" applyFill="1" applyBorder="1"/>
    <xf numFmtId="0" fontId="8" fillId="0" borderId="46" xfId="0" applyFont="1" applyFill="1" applyBorder="1" applyAlignment="1">
      <alignment vertical="top" wrapText="1"/>
    </xf>
    <xf numFmtId="0" fontId="23" fillId="0" borderId="46" xfId="0" applyFont="1" applyFill="1" applyBorder="1" applyAlignment="1">
      <alignment horizontal="left" vertical="top" wrapText="1"/>
    </xf>
    <xf numFmtId="0" fontId="7" fillId="0" borderId="46" xfId="0" quotePrefix="1" applyFont="1" applyFill="1" applyBorder="1" applyAlignment="1">
      <alignment vertical="top" wrapText="1"/>
    </xf>
    <xf numFmtId="0" fontId="7" fillId="0" borderId="46" xfId="0" applyFont="1" applyFill="1" applyBorder="1" applyAlignment="1">
      <alignment vertical="top" wrapText="1"/>
    </xf>
    <xf numFmtId="0" fontId="23" fillId="0" borderId="46" xfId="0" applyFont="1" applyFill="1" applyBorder="1" applyAlignment="1">
      <alignment vertical="top" wrapText="1"/>
    </xf>
    <xf numFmtId="0" fontId="7" fillId="0" borderId="46" xfId="0" applyFont="1" applyFill="1" applyBorder="1" applyAlignment="1">
      <alignment horizontal="center" vertical="top" wrapText="1"/>
    </xf>
    <xf numFmtId="41" fontId="7" fillId="0" borderId="46" xfId="1" applyFont="1" applyFill="1" applyBorder="1" applyAlignment="1">
      <alignment vertical="top" wrapText="1"/>
    </xf>
    <xf numFmtId="0" fontId="7" fillId="0" borderId="46" xfId="1" applyNumberFormat="1" applyFont="1" applyFill="1" applyBorder="1" applyAlignment="1">
      <alignment horizontal="center" vertical="top" wrapText="1"/>
    </xf>
    <xf numFmtId="166" fontId="7" fillId="0" borderId="46" xfId="1" applyNumberFormat="1" applyFont="1" applyFill="1" applyBorder="1" applyAlignment="1">
      <alignment vertical="top" wrapText="1"/>
    </xf>
    <xf numFmtId="2" fontId="7" fillId="0" borderId="46" xfId="0" applyNumberFormat="1" applyFont="1" applyFill="1" applyBorder="1" applyAlignment="1">
      <alignment vertical="top" wrapText="1"/>
    </xf>
    <xf numFmtId="41" fontId="7" fillId="0" borderId="46" xfId="0" applyNumberFormat="1" applyFont="1" applyFill="1" applyBorder="1" applyAlignment="1">
      <alignment vertical="top" wrapText="1"/>
    </xf>
    <xf numFmtId="2" fontId="8" fillId="0" borderId="46" xfId="0" applyNumberFormat="1" applyFont="1" applyFill="1" applyBorder="1" applyAlignment="1">
      <alignment vertical="top" wrapText="1"/>
    </xf>
    <xf numFmtId="41" fontId="8" fillId="0" borderId="46" xfId="1" applyFont="1" applyFill="1" applyBorder="1" applyAlignment="1">
      <alignment vertical="top" wrapText="1"/>
    </xf>
    <xf numFmtId="0" fontId="8" fillId="0" borderId="3" xfId="0" applyFont="1" applyFill="1" applyBorder="1"/>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2" fontId="16" fillId="9" borderId="1" xfId="0" applyNumberFormat="1" applyFont="1" applyFill="1" applyBorder="1" applyAlignment="1">
      <alignment horizontal="center" vertical="top"/>
    </xf>
    <xf numFmtId="0" fontId="8" fillId="0" borderId="31" xfId="0" applyFont="1" applyFill="1" applyBorder="1" applyAlignment="1">
      <alignment horizontal="center" vertical="top" wrapText="1"/>
    </xf>
    <xf numFmtId="0" fontId="8" fillId="8" borderId="2" xfId="0" applyFont="1" applyFill="1" applyBorder="1" applyAlignment="1">
      <alignment horizontal="center" vertical="center"/>
    </xf>
    <xf numFmtId="0" fontId="8" fillId="0" borderId="49" xfId="0" applyFont="1" applyBorder="1" applyAlignment="1">
      <alignment horizontal="center" vertical="top" wrapText="1"/>
    </xf>
    <xf numFmtId="166" fontId="10" fillId="0" borderId="18" xfId="0" applyNumberFormat="1" applyFont="1" applyBorder="1" applyAlignment="1">
      <alignment horizontal="center" vertical="top" wrapText="1"/>
    </xf>
    <xf numFmtId="0" fontId="8" fillId="8" borderId="30" xfId="0" applyFont="1" applyFill="1" applyBorder="1" applyAlignment="1">
      <alignment horizontal="center" vertical="center"/>
    </xf>
    <xf numFmtId="166" fontId="10" fillId="0" borderId="16" xfId="0" applyNumberFormat="1" applyFont="1" applyBorder="1" applyAlignment="1">
      <alignment horizontal="center" vertical="top" wrapText="1"/>
    </xf>
    <xf numFmtId="0" fontId="8" fillId="8" borderId="32" xfId="0" applyFont="1" applyFill="1" applyBorder="1" applyAlignment="1">
      <alignment horizontal="center" vertical="center"/>
    </xf>
    <xf numFmtId="0" fontId="8" fillId="0" borderId="31" xfId="0" applyFont="1" applyBorder="1" applyAlignment="1">
      <alignment horizontal="center" vertical="top"/>
    </xf>
    <xf numFmtId="0" fontId="8" fillId="0" borderId="21" xfId="0" applyFont="1" applyBorder="1" applyAlignment="1">
      <alignment horizontal="center" vertical="top"/>
    </xf>
    <xf numFmtId="41" fontId="7" fillId="0" borderId="46" xfId="1" applyNumberFormat="1" applyFont="1" applyFill="1" applyBorder="1" applyAlignment="1">
      <alignment horizontal="center" vertical="top" wrapText="1"/>
    </xf>
    <xf numFmtId="1" fontId="7" fillId="0" borderId="46" xfId="0" applyNumberFormat="1" applyFont="1" applyFill="1" applyBorder="1" applyAlignment="1">
      <alignment vertical="top" wrapText="1"/>
    </xf>
    <xf numFmtId="166" fontId="8" fillId="0" borderId="46" xfId="1" applyNumberFormat="1" applyFont="1" applyFill="1" applyBorder="1" applyAlignment="1">
      <alignment vertical="top" wrapText="1"/>
    </xf>
    <xf numFmtId="0" fontId="7" fillId="0" borderId="46" xfId="0" applyFont="1" applyFill="1" applyBorder="1" applyAlignment="1">
      <alignment horizontal="left" vertical="top" wrapText="1"/>
    </xf>
    <xf numFmtId="0" fontId="8" fillId="0" borderId="46" xfId="0" applyFont="1" applyFill="1" applyBorder="1" applyAlignment="1">
      <alignment horizontal="center" vertical="top" wrapText="1"/>
    </xf>
    <xf numFmtId="164" fontId="8" fillId="0" borderId="46" xfId="2" applyNumberFormat="1" applyFont="1" applyFill="1" applyBorder="1" applyAlignment="1">
      <alignment horizontal="center" vertical="top" wrapText="1"/>
    </xf>
    <xf numFmtId="41" fontId="8" fillId="0" borderId="46" xfId="1" applyFont="1" applyFill="1" applyBorder="1" applyAlignment="1">
      <alignment horizontal="center" vertical="top" wrapText="1"/>
    </xf>
    <xf numFmtId="41" fontId="8" fillId="0" borderId="46" xfId="0" applyNumberFormat="1" applyFont="1" applyFill="1" applyBorder="1" applyAlignment="1">
      <alignment vertical="top" wrapText="1"/>
    </xf>
    <xf numFmtId="2" fontId="7" fillId="0" borderId="46" xfId="0" applyNumberFormat="1" applyFont="1" applyFill="1" applyBorder="1" applyAlignment="1">
      <alignment horizontal="center" vertical="top" wrapText="1"/>
    </xf>
    <xf numFmtId="2" fontId="8" fillId="0" borderId="46" xfId="0" applyNumberFormat="1" applyFont="1" applyFill="1" applyBorder="1" applyAlignment="1">
      <alignment horizontal="center" vertical="top" wrapText="1"/>
    </xf>
    <xf numFmtId="166" fontId="8" fillId="0" borderId="46" xfId="1" applyNumberFormat="1" applyFont="1" applyFill="1" applyBorder="1" applyAlignment="1">
      <alignment horizontal="center" vertical="top" wrapText="1"/>
    </xf>
    <xf numFmtId="0" fontId="8" fillId="0" borderId="46" xfId="0" quotePrefix="1" applyFont="1" applyFill="1" applyBorder="1" applyAlignment="1">
      <alignment vertical="top" wrapText="1"/>
    </xf>
    <xf numFmtId="0" fontId="8" fillId="0" borderId="46" xfId="0" quotePrefix="1" applyFont="1" applyFill="1" applyBorder="1" applyAlignment="1">
      <alignment horizontal="left" vertical="top" wrapText="1"/>
    </xf>
    <xf numFmtId="41" fontId="8" fillId="0" borderId="46" xfId="0" applyNumberFormat="1" applyFont="1" applyFill="1" applyBorder="1" applyAlignment="1">
      <alignment horizontal="center" vertical="top" wrapText="1"/>
    </xf>
    <xf numFmtId="0" fontId="8" fillId="0" borderId="46" xfId="0" applyFont="1" applyFill="1" applyBorder="1" applyAlignment="1">
      <alignment horizontal="center" vertical="center" wrapText="1"/>
    </xf>
    <xf numFmtId="0" fontId="8" fillId="0" borderId="46" xfId="1" applyNumberFormat="1" applyFont="1" applyFill="1" applyBorder="1" applyAlignment="1">
      <alignment horizontal="center" vertical="top" wrapText="1"/>
    </xf>
    <xf numFmtId="41" fontId="7" fillId="0" borderId="46" xfId="1" applyFont="1" applyFill="1" applyBorder="1" applyAlignment="1">
      <alignment horizontal="center" vertical="top" wrapText="1"/>
    </xf>
    <xf numFmtId="0" fontId="7" fillId="0" borderId="48" xfId="0" applyFont="1" applyFill="1" applyBorder="1" applyAlignment="1">
      <alignment vertical="top" wrapText="1"/>
    </xf>
    <xf numFmtId="41" fontId="8" fillId="0" borderId="1" xfId="1" applyFont="1" applyFill="1" applyBorder="1" applyAlignment="1">
      <alignment vertical="top" wrapText="1"/>
    </xf>
    <xf numFmtId="9" fontId="8" fillId="0" borderId="1" xfId="0" applyNumberFormat="1" applyFont="1" applyFill="1" applyBorder="1" applyAlignment="1">
      <alignment vertical="top" wrapText="1"/>
    </xf>
    <xf numFmtId="0" fontId="8" fillId="0" borderId="3" xfId="0" applyFont="1" applyFill="1" applyBorder="1" applyAlignment="1">
      <alignment vertical="top"/>
    </xf>
    <xf numFmtId="0" fontId="8" fillId="0" borderId="3" xfId="0" quotePrefix="1" applyFont="1" applyFill="1" applyBorder="1" applyAlignment="1">
      <alignment vertical="top"/>
    </xf>
    <xf numFmtId="0" fontId="7" fillId="0" borderId="2" xfId="0" applyFont="1" applyFill="1" applyBorder="1" applyAlignment="1">
      <alignment vertical="top" wrapText="1"/>
    </xf>
    <xf numFmtId="0" fontId="8" fillId="0" borderId="1" xfId="0" quotePrefix="1" applyFont="1" applyFill="1" applyBorder="1" applyAlignment="1">
      <alignment vertical="top"/>
    </xf>
    <xf numFmtId="164" fontId="8" fillId="0" borderId="1" xfId="2" applyNumberFormat="1" applyFont="1" applyFill="1" applyBorder="1" applyAlignment="1">
      <alignment horizontal="right" vertical="top"/>
    </xf>
    <xf numFmtId="164" fontId="8" fillId="0" borderId="1" xfId="2" applyNumberFormat="1" applyFont="1" applyFill="1" applyBorder="1" applyAlignment="1">
      <alignment vertical="top"/>
    </xf>
    <xf numFmtId="2" fontId="8" fillId="0" borderId="1" xfId="0" applyNumberFormat="1" applyFont="1" applyFill="1" applyBorder="1" applyAlignment="1">
      <alignment horizontal="right" vertical="top"/>
    </xf>
    <xf numFmtId="9" fontId="8" fillId="0" borderId="1" xfId="0" applyNumberFormat="1" applyFont="1" applyFill="1" applyBorder="1" applyAlignment="1">
      <alignment vertical="top"/>
    </xf>
    <xf numFmtId="9" fontId="8" fillId="0" borderId="1" xfId="3" applyFont="1" applyFill="1" applyBorder="1" applyAlignment="1">
      <alignment horizontal="right" vertical="top"/>
    </xf>
    <xf numFmtId="9" fontId="8" fillId="0" borderId="1" xfId="0" applyNumberFormat="1" applyFont="1" applyFill="1" applyBorder="1" applyAlignment="1">
      <alignment horizontal="right" vertical="top"/>
    </xf>
    <xf numFmtId="9" fontId="8" fillId="0" borderId="1" xfId="0" quotePrefix="1" applyNumberFormat="1" applyFont="1" applyFill="1" applyBorder="1" applyAlignment="1">
      <alignment vertical="top"/>
    </xf>
    <xf numFmtId="164" fontId="8" fillId="0" borderId="4" xfId="2" applyNumberFormat="1" applyFont="1" applyFill="1" applyBorder="1" applyAlignment="1">
      <alignment horizontal="right" vertical="top" wrapText="1"/>
    </xf>
    <xf numFmtId="164" fontId="8" fillId="0" borderId="4" xfId="2" quotePrefix="1" applyNumberFormat="1" applyFont="1" applyFill="1" applyBorder="1" applyAlignment="1">
      <alignment vertical="top"/>
    </xf>
    <xf numFmtId="164" fontId="8" fillId="0" borderId="4" xfId="2" applyNumberFormat="1" applyFont="1" applyFill="1" applyBorder="1" applyAlignment="1">
      <alignment horizontal="right" vertical="top"/>
    </xf>
    <xf numFmtId="0" fontId="8" fillId="0" borderId="4" xfId="0" applyFont="1" applyFill="1" applyBorder="1" applyAlignment="1">
      <alignment horizontal="right" vertical="top" wrapText="1"/>
    </xf>
    <xf numFmtId="9" fontId="8" fillId="0" borderId="4" xfId="0" applyNumberFormat="1" applyFont="1" applyFill="1" applyBorder="1" applyAlignment="1">
      <alignment horizontal="left" vertical="top" wrapText="1"/>
    </xf>
    <xf numFmtId="9" fontId="8" fillId="0" borderId="4" xfId="0" quotePrefix="1" applyNumberFormat="1" applyFont="1" applyFill="1" applyBorder="1" applyAlignment="1">
      <alignment vertical="top"/>
    </xf>
    <xf numFmtId="2" fontId="8" fillId="0" borderId="1" xfId="0" applyNumberFormat="1" applyFont="1" applyFill="1" applyBorder="1"/>
    <xf numFmtId="0" fontId="7" fillId="0" borderId="3" xfId="0" applyFont="1" applyFill="1" applyBorder="1" applyAlignment="1">
      <alignment vertical="top"/>
    </xf>
    <xf numFmtId="0" fontId="7" fillId="0" borderId="3" xfId="0" quotePrefix="1" applyFont="1" applyFill="1" applyBorder="1" applyAlignment="1">
      <alignment vertical="top"/>
    </xf>
    <xf numFmtId="9" fontId="7" fillId="0" borderId="3" xfId="0" applyNumberFormat="1" applyFont="1" applyFill="1" applyBorder="1" applyAlignment="1">
      <alignment vertical="top"/>
    </xf>
    <xf numFmtId="0" fontId="7" fillId="0" borderId="3" xfId="0" applyFont="1" applyFill="1" applyBorder="1" applyAlignment="1">
      <alignment horizontal="right" vertical="top"/>
    </xf>
    <xf numFmtId="164" fontId="7" fillId="0" borderId="3" xfId="2" applyNumberFormat="1" applyFont="1" applyFill="1" applyBorder="1" applyAlignment="1">
      <alignment vertical="top"/>
    </xf>
    <xf numFmtId="164" fontId="7" fillId="0" borderId="3" xfId="2" applyNumberFormat="1" applyFont="1" applyFill="1" applyBorder="1" applyAlignment="1">
      <alignment horizontal="right" vertical="top"/>
    </xf>
    <xf numFmtId="0" fontId="7" fillId="0" borderId="1" xfId="0" applyFont="1" applyFill="1" applyBorder="1" applyAlignment="1">
      <alignment vertical="top"/>
    </xf>
    <xf numFmtId="0" fontId="7" fillId="0" borderId="1" xfId="0" quotePrefix="1" applyFont="1" applyFill="1" applyBorder="1" applyAlignment="1">
      <alignment vertical="top"/>
    </xf>
    <xf numFmtId="0" fontId="7" fillId="0" borderId="1" xfId="0" applyFont="1" applyFill="1" applyBorder="1" applyAlignment="1">
      <alignment horizontal="left" vertical="top" wrapText="1"/>
    </xf>
    <xf numFmtId="164" fontId="7" fillId="0" borderId="1" xfId="2" applyNumberFormat="1" applyFont="1" applyFill="1" applyBorder="1" applyAlignment="1">
      <alignment horizontal="right" vertical="top"/>
    </xf>
    <xf numFmtId="164" fontId="7" fillId="0" borderId="1" xfId="2" applyNumberFormat="1" applyFont="1" applyFill="1" applyBorder="1" applyAlignment="1">
      <alignment vertical="top"/>
    </xf>
    <xf numFmtId="0" fontId="7" fillId="0" borderId="1" xfId="0" applyFont="1" applyFill="1" applyBorder="1"/>
    <xf numFmtId="2" fontId="7" fillId="0" borderId="1" xfId="0" applyNumberFormat="1" applyFont="1" applyFill="1" applyBorder="1" applyAlignment="1">
      <alignment horizontal="right" vertical="top"/>
    </xf>
    <xf numFmtId="0" fontId="7" fillId="0" borderId="1" xfId="0" quotePrefix="1" applyFont="1" applyFill="1" applyBorder="1" applyAlignment="1">
      <alignment horizontal="center" vertical="top"/>
    </xf>
    <xf numFmtId="41" fontId="7" fillId="0" borderId="1" xfId="1" applyFont="1" applyFill="1" applyBorder="1" applyAlignment="1">
      <alignment vertical="top"/>
    </xf>
    <xf numFmtId="41" fontId="7" fillId="0" borderId="1" xfId="0" applyNumberFormat="1" applyFont="1" applyFill="1" applyBorder="1" applyAlignment="1">
      <alignment vertical="top"/>
    </xf>
    <xf numFmtId="2" fontId="7" fillId="0" borderId="4" xfId="0" applyNumberFormat="1" applyFont="1" applyFill="1" applyBorder="1" applyAlignment="1">
      <alignment horizontal="right" vertical="top"/>
    </xf>
    <xf numFmtId="0" fontId="7" fillId="0" borderId="4" xfId="0" quotePrefix="1" applyFont="1" applyFill="1" applyBorder="1" applyAlignment="1">
      <alignment horizontal="center" vertical="top"/>
    </xf>
    <xf numFmtId="41" fontId="7" fillId="0" borderId="1" xfId="1" applyFont="1" applyFill="1" applyBorder="1" applyAlignment="1">
      <alignment vertical="top" wrapText="1"/>
    </xf>
    <xf numFmtId="164" fontId="7" fillId="0" borderId="1" xfId="2" applyNumberFormat="1" applyFont="1" applyFill="1" applyBorder="1" applyAlignment="1">
      <alignment vertical="top" wrapText="1"/>
    </xf>
    <xf numFmtId="0" fontId="7" fillId="0" borderId="4" xfId="0" applyFont="1" applyFill="1" applyBorder="1" applyAlignment="1">
      <alignment vertical="top"/>
    </xf>
    <xf numFmtId="164" fontId="7" fillId="0" borderId="4" xfId="2" applyNumberFormat="1" applyFont="1" applyFill="1" applyBorder="1" applyAlignment="1">
      <alignment horizontal="right" vertical="top"/>
    </xf>
    <xf numFmtId="41" fontId="7" fillId="0" borderId="4" xfId="1" applyFont="1" applyFill="1" applyBorder="1" applyAlignment="1">
      <alignment vertical="top"/>
    </xf>
    <xf numFmtId="0" fontId="7" fillId="0" borderId="1" xfId="0" applyNumberFormat="1" applyFont="1" applyFill="1" applyBorder="1" applyAlignment="1">
      <alignment vertical="top"/>
    </xf>
    <xf numFmtId="0" fontId="8" fillId="0" borderId="1" xfId="0" applyFont="1" applyFill="1" applyBorder="1" applyAlignment="1">
      <alignment vertical="center" wrapText="1"/>
    </xf>
    <xf numFmtId="41" fontId="8" fillId="0" borderId="4" xfId="1" quotePrefix="1" applyFont="1" applyFill="1" applyBorder="1" applyAlignment="1">
      <alignment vertical="top"/>
    </xf>
    <xf numFmtId="0" fontId="7" fillId="0" borderId="4" xfId="0" quotePrefix="1" applyFont="1" applyFill="1" applyBorder="1" applyAlignment="1">
      <alignment vertical="top"/>
    </xf>
    <xf numFmtId="41" fontId="7" fillId="0" borderId="4" xfId="1" quotePrefix="1" applyFont="1" applyFill="1" applyBorder="1" applyAlignment="1">
      <alignment vertical="top"/>
    </xf>
    <xf numFmtId="2" fontId="7" fillId="0" borderId="4" xfId="0" applyNumberFormat="1" applyFont="1" applyFill="1" applyBorder="1" applyAlignment="1">
      <alignment vertical="top"/>
    </xf>
    <xf numFmtId="0" fontId="8" fillId="0" borderId="0" xfId="0" applyFont="1" applyFill="1" applyBorder="1" applyAlignment="1">
      <alignment vertical="top"/>
    </xf>
    <xf numFmtId="41" fontId="7" fillId="0" borderId="1" xfId="0" applyNumberFormat="1" applyFont="1" applyFill="1" applyBorder="1" applyAlignment="1">
      <alignment horizontal="right" vertical="top"/>
    </xf>
    <xf numFmtId="41" fontId="7" fillId="0" borderId="1" xfId="1" applyFont="1" applyFill="1" applyBorder="1" applyAlignment="1">
      <alignment horizontal="right" vertical="top"/>
    </xf>
    <xf numFmtId="0" fontId="7" fillId="0" borderId="0" xfId="0" applyFont="1" applyFill="1" applyBorder="1" applyAlignment="1">
      <alignment vertical="top"/>
    </xf>
    <xf numFmtId="0" fontId="8" fillId="0" borderId="1" xfId="0" quotePrefix="1" applyFont="1" applyFill="1" applyBorder="1" applyAlignment="1">
      <alignment horizontal="right" vertical="top"/>
    </xf>
    <xf numFmtId="0" fontId="7" fillId="0" borderId="1" xfId="0" quotePrefix="1" applyFont="1" applyFill="1" applyBorder="1" applyAlignment="1">
      <alignment horizontal="right" vertical="top"/>
    </xf>
    <xf numFmtId="0" fontId="8" fillId="0" borderId="3" xfId="0" quotePrefix="1" applyFont="1" applyFill="1" applyBorder="1" applyAlignment="1">
      <alignment horizontal="right" vertical="top"/>
    </xf>
    <xf numFmtId="0" fontId="8" fillId="0" borderId="3" xfId="0" applyFont="1" applyFill="1" applyBorder="1" applyAlignment="1">
      <alignment vertical="top" wrapText="1"/>
    </xf>
    <xf numFmtId="41" fontId="8" fillId="0" borderId="3" xfId="1" applyFont="1" applyFill="1" applyBorder="1" applyAlignment="1">
      <alignment vertical="top"/>
    </xf>
    <xf numFmtId="41" fontId="8" fillId="0" borderId="3" xfId="1" quotePrefix="1" applyFont="1" applyFill="1" applyBorder="1" applyAlignment="1">
      <alignment vertical="top"/>
    </xf>
    <xf numFmtId="2" fontId="8" fillId="0" borderId="3" xfId="0" applyNumberFormat="1" applyFont="1" applyFill="1" applyBorder="1" applyAlignment="1">
      <alignment vertical="top"/>
    </xf>
    <xf numFmtId="0" fontId="8" fillId="0" borderId="4" xfId="0" quotePrefix="1" applyFont="1" applyFill="1" applyBorder="1" applyAlignment="1">
      <alignment horizontal="right" vertical="top"/>
    </xf>
    <xf numFmtId="0" fontId="7" fillId="0" borderId="4" xfId="0" quotePrefix="1" applyFont="1" applyFill="1" applyBorder="1" applyAlignment="1">
      <alignment horizontal="right" vertical="top"/>
    </xf>
    <xf numFmtId="0" fontId="7" fillId="0" borderId="1" xfId="0" applyFont="1" applyFill="1" applyBorder="1" applyAlignment="1">
      <alignment vertical="center" wrapText="1"/>
    </xf>
    <xf numFmtId="172" fontId="21" fillId="0" borderId="1" xfId="1" applyNumberFormat="1" applyFont="1" applyFill="1" applyBorder="1" applyAlignment="1">
      <alignment horizontal="right" vertical="center"/>
    </xf>
    <xf numFmtId="41" fontId="21" fillId="0" borderId="1" xfId="1" applyFont="1" applyFill="1" applyBorder="1" applyAlignment="1">
      <alignment horizontal="right" vertical="center"/>
    </xf>
    <xf numFmtId="0" fontId="8" fillId="0" borderId="1" xfId="0" applyFont="1" applyFill="1" applyBorder="1" applyAlignment="1">
      <alignment vertical="center"/>
    </xf>
    <xf numFmtId="0" fontId="8" fillId="0" borderId="0" xfId="0" applyFont="1" applyFill="1" applyAlignment="1">
      <alignment vertical="center"/>
    </xf>
    <xf numFmtId="0" fontId="7" fillId="0" borderId="1" xfId="0" applyFont="1" applyFill="1" applyBorder="1" applyAlignment="1">
      <alignment horizontal="left" vertical="center" wrapText="1"/>
    </xf>
    <xf numFmtId="41" fontId="8" fillId="0" borderId="1" xfId="0" applyNumberFormat="1" applyFont="1" applyFill="1" applyBorder="1" applyAlignment="1">
      <alignment vertical="center"/>
    </xf>
    <xf numFmtId="3" fontId="15" fillId="0" borderId="1" xfId="0" applyNumberFormat="1" applyFont="1" applyFill="1" applyBorder="1" applyAlignment="1">
      <alignment vertical="center"/>
    </xf>
    <xf numFmtId="166" fontId="8" fillId="0" borderId="1" xfId="0" applyNumberFormat="1" applyFont="1" applyFill="1" applyBorder="1" applyAlignment="1">
      <alignment vertical="center"/>
    </xf>
    <xf numFmtId="41" fontId="8" fillId="0" borderId="1" xfId="1" quotePrefix="1" applyFont="1" applyFill="1" applyBorder="1" applyAlignment="1">
      <alignment vertical="center"/>
    </xf>
    <xf numFmtId="166" fontId="8" fillId="0" borderId="1" xfId="1" applyNumberFormat="1" applyFont="1" applyFill="1" applyBorder="1" applyAlignment="1">
      <alignment vertical="center"/>
    </xf>
    <xf numFmtId="41" fontId="8" fillId="0" borderId="4" xfId="0" applyNumberFormat="1" applyFont="1" applyFill="1" applyBorder="1" applyAlignment="1">
      <alignment vertical="center"/>
    </xf>
    <xf numFmtId="166" fontId="8" fillId="0" borderId="4" xfId="1" applyNumberFormat="1" applyFont="1" applyFill="1" applyBorder="1" applyAlignment="1">
      <alignment vertical="center"/>
    </xf>
    <xf numFmtId="41" fontId="8" fillId="0" borderId="4" xfId="1" applyFont="1" applyFill="1" applyBorder="1" applyAlignment="1">
      <alignment vertical="center"/>
    </xf>
    <xf numFmtId="0" fontId="7" fillId="0" borderId="5" xfId="0" applyFont="1" applyFill="1" applyBorder="1" applyAlignment="1">
      <alignment vertical="top" wrapText="1"/>
    </xf>
    <xf numFmtId="0" fontId="8" fillId="0" borderId="1" xfId="0" quotePrefix="1" applyFont="1" applyFill="1" applyBorder="1" applyAlignment="1">
      <alignment horizontal="left" vertical="center" wrapText="1"/>
    </xf>
    <xf numFmtId="164" fontId="8" fillId="0" borderId="1" xfId="1" applyNumberFormat="1" applyFont="1" applyFill="1" applyBorder="1" applyAlignment="1">
      <alignment horizontal="right" vertical="center"/>
    </xf>
    <xf numFmtId="41" fontId="8" fillId="0" borderId="1" xfId="1" quotePrefix="1" applyFont="1" applyFill="1" applyBorder="1" applyAlignment="1">
      <alignment vertical="top"/>
    </xf>
    <xf numFmtId="164" fontId="8" fillId="0" borderId="1" xfId="2" quotePrefix="1" applyNumberFormat="1" applyFont="1" applyFill="1" applyBorder="1" applyAlignment="1">
      <alignment vertical="top"/>
    </xf>
    <xf numFmtId="0" fontId="8" fillId="0" borderId="3" xfId="0" applyFont="1" applyFill="1" applyBorder="1" applyAlignment="1">
      <alignment vertical="center" wrapText="1"/>
    </xf>
    <xf numFmtId="43" fontId="8" fillId="0" borderId="1" xfId="1" applyNumberFormat="1" applyFont="1" applyFill="1" applyBorder="1" applyAlignment="1">
      <alignment horizontal="right" vertical="center"/>
    </xf>
    <xf numFmtId="0" fontId="8" fillId="0" borderId="4" xfId="0" applyFont="1" applyFill="1" applyBorder="1" applyAlignment="1">
      <alignment vertical="center" wrapText="1"/>
    </xf>
    <xf numFmtId="0" fontId="7" fillId="0" borderId="7" xfId="0" applyFont="1" applyFill="1" applyBorder="1" applyAlignment="1">
      <alignment vertical="top" wrapText="1"/>
    </xf>
    <xf numFmtId="0" fontId="15" fillId="0" borderId="54" xfId="0" applyFont="1" applyFill="1" applyBorder="1" applyAlignment="1">
      <alignment vertical="center" wrapText="1"/>
    </xf>
    <xf numFmtId="0" fontId="8" fillId="0" borderId="1" xfId="0" applyFont="1" applyFill="1" applyBorder="1" applyAlignment="1">
      <alignment horizontal="left" vertical="center" wrapText="1"/>
    </xf>
    <xf numFmtId="166" fontId="8" fillId="0" borderId="1" xfId="1" applyNumberFormat="1" applyFont="1" applyFill="1" applyBorder="1" applyAlignment="1">
      <alignment vertical="center" wrapText="1"/>
    </xf>
    <xf numFmtId="172" fontId="8" fillId="0" borderId="4" xfId="0" applyNumberFormat="1" applyFont="1" applyFill="1" applyBorder="1" applyAlignment="1">
      <alignment vertical="center"/>
    </xf>
    <xf numFmtId="166" fontId="8" fillId="0" borderId="4" xfId="1" applyNumberFormat="1" applyFont="1" applyFill="1" applyBorder="1" applyAlignment="1">
      <alignment horizontal="right" vertical="center"/>
    </xf>
    <xf numFmtId="0" fontId="15" fillId="0" borderId="54" xfId="0" applyFont="1" applyFill="1" applyBorder="1" applyAlignment="1">
      <alignment vertical="top" wrapText="1"/>
    </xf>
    <xf numFmtId="41" fontId="8" fillId="0" borderId="1" xfId="1" applyFont="1" applyFill="1" applyBorder="1" applyAlignment="1">
      <alignment vertical="center" wrapText="1"/>
    </xf>
    <xf numFmtId="41" fontId="8" fillId="0" borderId="1" xfId="1" applyNumberFormat="1" applyFont="1" applyFill="1" applyBorder="1" applyAlignment="1">
      <alignment vertical="center" wrapText="1"/>
    </xf>
    <xf numFmtId="172" fontId="8" fillId="0" borderId="1" xfId="1" applyNumberFormat="1" applyFont="1" applyFill="1" applyBorder="1" applyAlignment="1">
      <alignment vertical="center" wrapText="1"/>
    </xf>
    <xf numFmtId="173" fontId="8" fillId="0" borderId="1" xfId="1" applyNumberFormat="1" applyFont="1" applyFill="1" applyBorder="1" applyAlignment="1">
      <alignment vertical="center" wrapText="1"/>
    </xf>
    <xf numFmtId="0" fontId="8" fillId="0" borderId="2" xfId="0" applyFont="1" applyFill="1" applyBorder="1" applyAlignment="1">
      <alignment vertical="center" wrapText="1"/>
    </xf>
    <xf numFmtId="0" fontId="8" fillId="0" borderId="7" xfId="0" applyFont="1" applyFill="1" applyBorder="1" applyAlignment="1">
      <alignment vertical="top" wrapText="1"/>
    </xf>
    <xf numFmtId="41" fontId="8" fillId="0" borderId="1" xfId="1" applyFont="1" applyFill="1" applyBorder="1" applyAlignment="1">
      <alignment vertical="center"/>
    </xf>
    <xf numFmtId="0" fontId="23" fillId="0" borderId="54" xfId="0" applyFont="1" applyFill="1" applyBorder="1" applyAlignment="1">
      <alignment vertical="top" wrapText="1"/>
    </xf>
    <xf numFmtId="41" fontId="7" fillId="0" borderId="1" xfId="0" applyNumberFormat="1" applyFont="1" applyFill="1" applyBorder="1" applyAlignment="1">
      <alignment vertical="center"/>
    </xf>
    <xf numFmtId="0" fontId="24" fillId="0" borderId="1" xfId="0" applyFont="1" applyFill="1" applyBorder="1" applyAlignment="1">
      <alignment horizontal="left" vertical="top" wrapText="1"/>
    </xf>
    <xf numFmtId="0" fontId="7" fillId="0" borderId="1" xfId="0" quotePrefix="1" applyFont="1" applyFill="1" applyBorder="1" applyAlignment="1">
      <alignment horizontal="left" vertical="center" wrapText="1"/>
    </xf>
    <xf numFmtId="164" fontId="7" fillId="0" borderId="1" xfId="1" applyNumberFormat="1" applyFont="1" applyFill="1" applyBorder="1" applyAlignment="1">
      <alignment horizontal="right" vertical="center"/>
    </xf>
    <xf numFmtId="43" fontId="7" fillId="0" borderId="1" xfId="1" applyNumberFormat="1" applyFont="1" applyFill="1" applyBorder="1" applyAlignment="1">
      <alignment horizontal="right" vertical="center"/>
    </xf>
    <xf numFmtId="172" fontId="7" fillId="0" borderId="1" xfId="0" applyNumberFormat="1" applyFont="1" applyFill="1" applyBorder="1" applyAlignment="1">
      <alignment horizontal="right" vertical="center"/>
    </xf>
    <xf numFmtId="172" fontId="8" fillId="0" borderId="1" xfId="0" applyNumberFormat="1" applyFont="1" applyFill="1" applyBorder="1" applyAlignment="1">
      <alignment horizontal="right" vertical="center"/>
    </xf>
    <xf numFmtId="172" fontId="8" fillId="0" borderId="1" xfId="1"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166" fontId="7" fillId="0" borderId="1" xfId="1" applyNumberFormat="1" applyFont="1" applyFill="1" applyBorder="1" applyAlignment="1">
      <alignment vertical="center" wrapText="1"/>
    </xf>
    <xf numFmtId="166" fontId="8" fillId="0" borderId="1" xfId="1" applyNumberFormat="1" applyFont="1" applyFill="1" applyBorder="1" applyAlignment="1">
      <alignment vertical="top"/>
    </xf>
    <xf numFmtId="0" fontId="8" fillId="0" borderId="54" xfId="0" applyFont="1" applyFill="1" applyBorder="1" applyAlignment="1">
      <alignment vertical="top" wrapText="1"/>
    </xf>
    <xf numFmtId="0" fontId="7" fillId="0" borderId="11" xfId="0" applyFont="1" applyFill="1" applyBorder="1" applyAlignment="1">
      <alignment horizontal="left" vertical="top" wrapText="1"/>
    </xf>
    <xf numFmtId="0" fontId="7" fillId="0" borderId="1" xfId="0" applyFont="1" applyFill="1" applyBorder="1" applyAlignment="1">
      <alignment vertical="center"/>
    </xf>
    <xf numFmtId="41" fontId="7" fillId="0" borderId="1" xfId="1" applyFont="1" applyFill="1" applyBorder="1" applyAlignment="1">
      <alignment vertical="center"/>
    </xf>
    <xf numFmtId="166" fontId="7" fillId="0" borderId="1" xfId="1" applyNumberFormat="1" applyFont="1" applyFill="1" applyBorder="1" applyAlignment="1">
      <alignment vertical="center"/>
    </xf>
    <xf numFmtId="166" fontId="7" fillId="0" borderId="1" xfId="0" applyNumberFormat="1" applyFont="1" applyFill="1" applyBorder="1" applyAlignment="1">
      <alignment vertical="center"/>
    </xf>
    <xf numFmtId="41" fontId="7" fillId="0" borderId="1" xfId="1" quotePrefix="1" applyFont="1" applyFill="1" applyBorder="1" applyAlignment="1">
      <alignment vertical="top"/>
    </xf>
    <xf numFmtId="41" fontId="8" fillId="0" borderId="1" xfId="1" applyNumberFormat="1" applyFont="1" applyFill="1" applyBorder="1" applyAlignment="1">
      <alignment vertical="top" wrapText="1"/>
    </xf>
    <xf numFmtId="166" fontId="8" fillId="0" borderId="1" xfId="1" applyNumberFormat="1" applyFont="1" applyFill="1" applyBorder="1" applyAlignment="1">
      <alignment vertical="top" wrapText="1"/>
    </xf>
    <xf numFmtId="4" fontId="21" fillId="0" borderId="1" xfId="0" applyNumberFormat="1" applyFont="1" applyFill="1" applyBorder="1" applyAlignment="1">
      <alignment vertical="center"/>
    </xf>
    <xf numFmtId="2" fontId="8" fillId="0" borderId="1" xfId="0" applyNumberFormat="1" applyFont="1" applyFill="1" applyBorder="1" applyAlignment="1">
      <alignment vertical="center" wrapText="1"/>
    </xf>
    <xf numFmtId="166" fontId="8" fillId="0" borderId="1" xfId="0" applyNumberFormat="1" applyFont="1" applyFill="1" applyBorder="1" applyAlignment="1">
      <alignment vertical="top"/>
    </xf>
    <xf numFmtId="43" fontId="8" fillId="0" borderId="1" xfId="2" quotePrefix="1" applyNumberFormat="1" applyFont="1" applyFill="1" applyBorder="1" applyAlignment="1">
      <alignment vertical="top"/>
    </xf>
    <xf numFmtId="166" fontId="7" fillId="0" borderId="1" xfId="1" applyNumberFormat="1" applyFont="1" applyFill="1" applyBorder="1" applyAlignment="1">
      <alignment vertical="top"/>
    </xf>
    <xf numFmtId="164" fontId="7" fillId="0" borderId="1" xfId="2" quotePrefix="1" applyNumberFormat="1" applyFont="1" applyFill="1" applyBorder="1" applyAlignment="1">
      <alignment vertical="top"/>
    </xf>
    <xf numFmtId="166" fontId="7" fillId="0" borderId="1" xfId="0" applyNumberFormat="1" applyFont="1" applyFill="1" applyBorder="1" applyAlignment="1">
      <alignment vertical="top"/>
    </xf>
    <xf numFmtId="166" fontId="8" fillId="0" borderId="1" xfId="0" quotePrefix="1" applyNumberFormat="1" applyFont="1" applyFill="1" applyBorder="1" applyAlignment="1">
      <alignment vertical="top"/>
    </xf>
    <xf numFmtId="166" fontId="8" fillId="0" borderId="1" xfId="2" quotePrefix="1" applyNumberFormat="1" applyFont="1" applyFill="1" applyBorder="1" applyAlignment="1">
      <alignment vertical="top"/>
    </xf>
    <xf numFmtId="166" fontId="8" fillId="0" borderId="1" xfId="2" applyNumberFormat="1" applyFont="1" applyFill="1" applyBorder="1" applyAlignment="1">
      <alignment vertical="top"/>
    </xf>
    <xf numFmtId="166" fontId="8" fillId="0" borderId="1" xfId="1" quotePrefix="1" applyNumberFormat="1" applyFont="1" applyFill="1" applyBorder="1" applyAlignment="1">
      <alignment vertical="top"/>
    </xf>
    <xf numFmtId="166" fontId="8" fillId="0" borderId="4" xfId="0" applyNumberFormat="1" applyFont="1" applyFill="1" applyBorder="1" applyAlignment="1">
      <alignment vertical="top"/>
    </xf>
    <xf numFmtId="166" fontId="8" fillId="0" borderId="4" xfId="0" applyNumberFormat="1" applyFont="1" applyFill="1" applyBorder="1" applyAlignment="1">
      <alignment vertical="center"/>
    </xf>
    <xf numFmtId="166" fontId="8" fillId="0" borderId="4" xfId="1" applyNumberFormat="1" applyFont="1" applyFill="1" applyBorder="1" applyAlignment="1">
      <alignment vertical="top"/>
    </xf>
    <xf numFmtId="166" fontId="8" fillId="0" borderId="4" xfId="0" applyNumberFormat="1" applyFont="1" applyFill="1" applyBorder="1" applyAlignment="1">
      <alignment horizontal="right" vertical="top"/>
    </xf>
    <xf numFmtId="0" fontId="8" fillId="0" borderId="9" xfId="0" applyFont="1" applyFill="1" applyBorder="1" applyAlignment="1">
      <alignment horizontal="left" vertical="top" wrapText="1"/>
    </xf>
    <xf numFmtId="0" fontId="7" fillId="0" borderId="9" xfId="0" applyFont="1" applyFill="1" applyBorder="1" applyAlignment="1">
      <alignment horizontal="left" vertical="top" wrapText="1"/>
    </xf>
    <xf numFmtId="0" fontId="15" fillId="0" borderId="2" xfId="0" applyFont="1" applyFill="1" applyBorder="1" applyAlignment="1">
      <alignment vertical="top" wrapText="1"/>
    </xf>
    <xf numFmtId="0" fontId="15" fillId="0" borderId="9" xfId="0" applyFont="1" applyFill="1" applyBorder="1" applyAlignment="1">
      <alignment horizontal="left" vertical="top" wrapText="1"/>
    </xf>
    <xf numFmtId="0" fontId="15" fillId="0" borderId="1" xfId="0" applyFont="1" applyFill="1" applyBorder="1" applyAlignment="1">
      <alignment horizontal="left" vertical="top" wrapText="1"/>
    </xf>
    <xf numFmtId="0" fontId="8" fillId="0" borderId="1" xfId="0" applyFont="1" applyBorder="1" applyAlignment="1">
      <alignment horizontal="center" vertical="top"/>
    </xf>
    <xf numFmtId="0" fontId="8" fillId="0" borderId="1" xfId="0" applyFont="1" applyFill="1" applyBorder="1" applyAlignment="1">
      <alignment horizontal="center" vertical="center"/>
    </xf>
    <xf numFmtId="0" fontId="7" fillId="8" borderId="1" xfId="0" applyFont="1" applyFill="1" applyBorder="1" applyAlignment="1">
      <alignment vertical="center"/>
    </xf>
    <xf numFmtId="0" fontId="21" fillId="0" borderId="4" xfId="0" applyFont="1" applyFill="1" applyBorder="1" applyAlignment="1">
      <alignment vertical="top" wrapText="1"/>
    </xf>
    <xf numFmtId="166" fontId="21" fillId="0" borderId="4" xfId="1" applyNumberFormat="1" applyFont="1" applyFill="1" applyBorder="1" applyAlignment="1">
      <alignment horizontal="right" vertical="top"/>
    </xf>
    <xf numFmtId="174" fontId="8" fillId="0" borderId="4" xfId="0" applyNumberFormat="1" applyFont="1" applyFill="1" applyBorder="1" applyAlignment="1">
      <alignment horizontal="left" vertical="top"/>
    </xf>
    <xf numFmtId="41" fontId="17" fillId="0" borderId="1" xfId="1" applyNumberFormat="1" applyFont="1" applyFill="1" applyBorder="1" applyAlignment="1">
      <alignment horizontal="right" vertical="top"/>
    </xf>
    <xf numFmtId="166" fontId="8" fillId="0" borderId="4" xfId="1" applyNumberFormat="1" applyFont="1" applyFill="1" applyBorder="1" applyAlignment="1">
      <alignment horizontal="right" vertical="top"/>
    </xf>
    <xf numFmtId="2" fontId="8" fillId="0" borderId="1" xfId="0" applyNumberFormat="1" applyFont="1" applyFill="1" applyBorder="1" applyAlignment="1">
      <alignment vertical="top" wrapText="1"/>
    </xf>
    <xf numFmtId="166" fontId="21" fillId="0" borderId="1" xfId="1" applyNumberFormat="1" applyFont="1" applyFill="1" applyBorder="1" applyAlignment="1">
      <alignment horizontal="right" vertical="top" wrapText="1"/>
    </xf>
    <xf numFmtId="166" fontId="8" fillId="0" borderId="1" xfId="1" applyNumberFormat="1" applyFont="1" applyFill="1" applyBorder="1" applyAlignment="1">
      <alignment horizontal="right" vertical="top" wrapText="1"/>
    </xf>
    <xf numFmtId="2" fontId="8" fillId="0" borderId="1" xfId="1" applyNumberFormat="1" applyFont="1" applyFill="1" applyBorder="1" applyAlignment="1">
      <alignment vertical="top" wrapText="1"/>
    </xf>
    <xf numFmtId="0" fontId="21" fillId="0" borderId="1" xfId="0" applyFont="1" applyFill="1" applyBorder="1" applyAlignment="1">
      <alignment vertical="top" wrapText="1"/>
    </xf>
    <xf numFmtId="41" fontId="17" fillId="0" borderId="1" xfId="1" applyNumberFormat="1" applyFont="1" applyFill="1" applyBorder="1" applyAlignment="1">
      <alignment horizontal="right" vertical="top" wrapText="1"/>
    </xf>
    <xf numFmtId="0" fontId="21" fillId="0" borderId="1" xfId="0" applyNumberFormat="1" applyFont="1" applyFill="1" applyBorder="1" applyAlignment="1">
      <alignment horizontal="left" vertical="center" wrapText="1"/>
    </xf>
    <xf numFmtId="43" fontId="8" fillId="0" borderId="0" xfId="0" applyNumberFormat="1" applyFont="1" applyFill="1" applyAlignment="1">
      <alignment vertical="top"/>
    </xf>
    <xf numFmtId="41" fontId="21" fillId="0" borderId="1" xfId="1" applyNumberFormat="1" applyFont="1" applyFill="1" applyBorder="1" applyAlignment="1">
      <alignment horizontal="right" vertical="top" wrapText="1"/>
    </xf>
    <xf numFmtId="166" fontId="9" fillId="0" borderId="1" xfId="0" applyNumberFormat="1" applyFont="1" applyFill="1" applyBorder="1"/>
    <xf numFmtId="166" fontId="17" fillId="0" borderId="1" xfId="1" applyNumberFormat="1" applyFont="1" applyFill="1" applyBorder="1" applyAlignment="1">
      <alignment horizontal="right" vertical="top"/>
    </xf>
    <xf numFmtId="166" fontId="7" fillId="0" borderId="1" xfId="0" applyNumberFormat="1" applyFont="1" applyFill="1" applyBorder="1" applyAlignment="1">
      <alignment horizontal="right" vertical="top"/>
    </xf>
    <xf numFmtId="166" fontId="21" fillId="0" borderId="4" xfId="1" applyNumberFormat="1" applyFont="1" applyFill="1" applyBorder="1" applyAlignment="1">
      <alignment horizontal="right" vertical="top" wrapText="1"/>
    </xf>
    <xf numFmtId="166" fontId="17" fillId="0" borderId="1" xfId="1" applyNumberFormat="1" applyFont="1" applyFill="1" applyBorder="1" applyAlignment="1">
      <alignment horizontal="right" vertical="top" wrapText="1"/>
    </xf>
    <xf numFmtId="166" fontId="8" fillId="0" borderId="1" xfId="0" applyNumberFormat="1" applyFont="1" applyFill="1" applyBorder="1" applyAlignment="1">
      <alignment horizontal="right" vertical="top"/>
    </xf>
    <xf numFmtId="2" fontId="7" fillId="0" borderId="1" xfId="0" applyNumberFormat="1" applyFont="1" applyFill="1" applyBorder="1" applyAlignment="1">
      <alignment vertical="top" wrapText="1"/>
    </xf>
    <xf numFmtId="0" fontId="7" fillId="0" borderId="1" xfId="0" applyFont="1" applyFill="1" applyBorder="1" applyAlignment="1">
      <alignment horizontal="center" vertical="top" wrapText="1"/>
    </xf>
    <xf numFmtId="0" fontId="8" fillId="0" borderId="1" xfId="0" applyFont="1" applyBorder="1" applyAlignment="1">
      <alignment vertical="top" wrapText="1"/>
    </xf>
    <xf numFmtId="41" fontId="25" fillId="0" borderId="2" xfId="0" applyNumberFormat="1" applyFont="1" applyBorder="1" applyAlignment="1">
      <alignment vertical="top" wrapText="1"/>
    </xf>
    <xf numFmtId="41" fontId="25" fillId="0" borderId="1" xfId="0" applyNumberFormat="1"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1" xfId="0" applyFont="1" applyFill="1" applyBorder="1" applyAlignment="1">
      <alignment horizontal="left" vertical="top" wrapText="1"/>
    </xf>
    <xf numFmtId="0" fontId="7" fillId="10" borderId="56" xfId="0" applyFont="1" applyFill="1" applyBorder="1" applyAlignment="1">
      <alignment vertical="top" wrapText="1"/>
    </xf>
    <xf numFmtId="0" fontId="8" fillId="10" borderId="0" xfId="0" applyFont="1" applyFill="1" applyBorder="1" applyAlignment="1">
      <alignment horizontal="left" vertical="top" wrapText="1"/>
    </xf>
    <xf numFmtId="0" fontId="7" fillId="10" borderId="56" xfId="0" quotePrefix="1" applyFont="1" applyFill="1" applyBorder="1" applyAlignment="1">
      <alignment horizontal="center" vertical="top" wrapText="1"/>
    </xf>
    <xf numFmtId="0" fontId="7" fillId="10" borderId="56" xfId="0" applyFont="1" applyFill="1" applyBorder="1" applyAlignment="1">
      <alignment horizontal="center" vertical="top" wrapText="1"/>
    </xf>
    <xf numFmtId="0" fontId="23" fillId="10" borderId="57" xfId="0" applyFont="1" applyFill="1" applyBorder="1" applyAlignment="1">
      <alignment vertical="top" wrapText="1"/>
    </xf>
    <xf numFmtId="0" fontId="23" fillId="10" borderId="58" xfId="0" applyFont="1" applyFill="1" applyBorder="1" applyAlignment="1">
      <alignment vertical="top" wrapText="1"/>
    </xf>
    <xf numFmtId="0" fontId="8" fillId="10" borderId="0" xfId="0" applyFont="1" applyFill="1" applyBorder="1" applyAlignment="1">
      <alignment horizontal="center" vertical="top" wrapText="1"/>
    </xf>
    <xf numFmtId="164" fontId="7" fillId="10" borderId="59" xfId="1" applyNumberFormat="1" applyFont="1" applyFill="1" applyBorder="1" applyAlignment="1">
      <alignment horizontal="right" vertical="top"/>
    </xf>
    <xf numFmtId="41" fontId="7" fillId="10" borderId="56" xfId="1" applyFont="1" applyFill="1" applyBorder="1" applyAlignment="1">
      <alignment vertical="top" wrapText="1"/>
    </xf>
    <xf numFmtId="41" fontId="17" fillId="10" borderId="60" xfId="6" applyNumberFormat="1" applyFont="1" applyFill="1" applyBorder="1" applyAlignment="1">
      <alignment horizontal="right" vertical="top"/>
    </xf>
    <xf numFmtId="41" fontId="17" fillId="10" borderId="47" xfId="6" applyNumberFormat="1" applyFont="1" applyFill="1" applyBorder="1" applyAlignment="1">
      <alignment horizontal="right" vertical="top"/>
    </xf>
    <xf numFmtId="10" fontId="8" fillId="10" borderId="56" xfId="3" applyNumberFormat="1" applyFont="1" applyFill="1" applyBorder="1" applyAlignment="1">
      <alignment vertical="top" wrapText="1"/>
    </xf>
    <xf numFmtId="41" fontId="7" fillId="10" borderId="56" xfId="1" applyNumberFormat="1" applyFont="1" applyFill="1" applyBorder="1" applyAlignment="1">
      <alignment vertical="top" wrapText="1"/>
    </xf>
    <xf numFmtId="41" fontId="7" fillId="10" borderId="56" xfId="0" applyNumberFormat="1" applyFont="1" applyFill="1" applyBorder="1" applyAlignment="1">
      <alignment vertical="top" wrapText="1"/>
    </xf>
    <xf numFmtId="166" fontId="7" fillId="10" borderId="56" xfId="1" applyNumberFormat="1" applyFont="1" applyFill="1" applyBorder="1" applyAlignment="1">
      <alignment vertical="top" wrapText="1"/>
    </xf>
    <xf numFmtId="0" fontId="7" fillId="11" borderId="61" xfId="0" applyFont="1" applyFill="1" applyBorder="1" applyAlignment="1">
      <alignment horizontal="left" vertical="top" wrapText="1"/>
    </xf>
    <xf numFmtId="0" fontId="7" fillId="9" borderId="0" xfId="0" applyFont="1" applyFill="1"/>
    <xf numFmtId="0" fontId="7" fillId="11" borderId="0" xfId="0" applyFont="1" applyFill="1"/>
    <xf numFmtId="0" fontId="8" fillId="9" borderId="62" xfId="0" applyFont="1" applyFill="1" applyBorder="1" applyAlignment="1">
      <alignment vertical="top" wrapText="1"/>
    </xf>
    <xf numFmtId="0" fontId="8" fillId="9" borderId="62" xfId="0" quotePrefix="1" applyFont="1" applyFill="1" applyBorder="1" applyAlignment="1">
      <alignment horizontal="center" vertical="top" wrapText="1"/>
    </xf>
    <xf numFmtId="0" fontId="8" fillId="9" borderId="62" xfId="0" applyFont="1" applyFill="1" applyBorder="1" applyAlignment="1">
      <alignment horizontal="center" vertical="top" wrapText="1"/>
    </xf>
    <xf numFmtId="0" fontId="15" fillId="9" borderId="64" xfId="0" applyFont="1" applyFill="1" applyBorder="1" applyAlignment="1">
      <alignment vertical="top" wrapText="1"/>
    </xf>
    <xf numFmtId="0" fontId="8" fillId="9" borderId="62" xfId="0" applyFont="1" applyFill="1" applyBorder="1" applyAlignment="1">
      <alignment horizontal="left" vertical="top" wrapText="1"/>
    </xf>
    <xf numFmtId="41" fontId="8" fillId="9" borderId="62" xfId="1" applyFont="1" applyFill="1" applyBorder="1" applyAlignment="1">
      <alignment vertical="top" wrapText="1"/>
    </xf>
    <xf numFmtId="41" fontId="8" fillId="9" borderId="62" xfId="1" applyNumberFormat="1" applyFont="1" applyFill="1" applyBorder="1" applyAlignment="1">
      <alignment vertical="top" wrapText="1"/>
    </xf>
    <xf numFmtId="41" fontId="7" fillId="9" borderId="62" xfId="0" applyNumberFormat="1" applyFont="1" applyFill="1" applyBorder="1" applyAlignment="1">
      <alignment vertical="top" wrapText="1"/>
    </xf>
    <xf numFmtId="166" fontId="7" fillId="9" borderId="62" xfId="1" applyNumberFormat="1" applyFont="1" applyFill="1" applyBorder="1" applyAlignment="1">
      <alignment vertical="top" wrapText="1"/>
    </xf>
    <xf numFmtId="0" fontId="8" fillId="9" borderId="65" xfId="0" applyFont="1" applyFill="1" applyBorder="1" applyAlignment="1">
      <alignment vertical="top" wrapText="1"/>
    </xf>
    <xf numFmtId="0" fontId="8" fillId="9" borderId="0" xfId="0" applyFont="1" applyFill="1"/>
    <xf numFmtId="41" fontId="8" fillId="9" borderId="62" xfId="1" quotePrefix="1" applyFont="1" applyFill="1" applyBorder="1" applyAlignment="1">
      <alignment horizontal="center" vertical="top" wrapText="1"/>
    </xf>
    <xf numFmtId="9" fontId="8" fillId="9" borderId="62" xfId="0" applyNumberFormat="1" applyFont="1" applyFill="1" applyBorder="1" applyAlignment="1">
      <alignment vertical="top" wrapText="1"/>
    </xf>
    <xf numFmtId="9" fontId="8" fillId="9" borderId="62" xfId="0" applyNumberFormat="1" applyFont="1" applyFill="1" applyBorder="1" applyAlignment="1">
      <alignment horizontal="center" vertical="top" wrapText="1"/>
    </xf>
    <xf numFmtId="41" fontId="8" fillId="9" borderId="62" xfId="0" applyNumberFormat="1" applyFont="1" applyFill="1" applyBorder="1" applyAlignment="1">
      <alignment vertical="top" wrapText="1"/>
    </xf>
    <xf numFmtId="166" fontId="8" fillId="9" borderId="62" xfId="1" applyNumberFormat="1" applyFont="1" applyFill="1" applyBorder="1" applyAlignment="1">
      <alignment vertical="top" wrapText="1"/>
    </xf>
    <xf numFmtId="41" fontId="8" fillId="9" borderId="62" xfId="0" applyNumberFormat="1" applyFont="1" applyFill="1" applyBorder="1" applyAlignment="1">
      <alignment horizontal="center" vertical="top" wrapText="1"/>
    </xf>
    <xf numFmtId="1" fontId="8" fillId="9" borderId="62" xfId="0" applyNumberFormat="1" applyFont="1" applyFill="1" applyBorder="1" applyAlignment="1">
      <alignment vertical="top" wrapText="1"/>
    </xf>
    <xf numFmtId="41" fontId="8" fillId="9" borderId="62" xfId="1" quotePrefix="1" applyNumberFormat="1" applyFont="1" applyFill="1" applyBorder="1" applyAlignment="1">
      <alignment horizontal="center" vertical="top" wrapText="1"/>
    </xf>
    <xf numFmtId="0" fontId="8" fillId="9" borderId="66" xfId="0" applyFont="1" applyFill="1" applyBorder="1" applyAlignment="1">
      <alignment vertical="top"/>
    </xf>
    <xf numFmtId="41" fontId="8" fillId="9" borderId="67" xfId="1" applyFont="1" applyFill="1" applyBorder="1" applyAlignment="1">
      <alignment vertical="top"/>
    </xf>
    <xf numFmtId="9" fontId="8" fillId="9" borderId="62" xfId="1" applyNumberFormat="1" applyFont="1" applyFill="1" applyBorder="1" applyAlignment="1">
      <alignment vertical="top" wrapText="1"/>
    </xf>
    <xf numFmtId="0" fontId="7" fillId="10" borderId="68" xfId="0" applyFont="1" applyFill="1" applyBorder="1" applyAlignment="1">
      <alignment vertical="top" wrapText="1"/>
    </xf>
    <xf numFmtId="0" fontId="7" fillId="10" borderId="0" xfId="0" applyFont="1" applyFill="1" applyBorder="1" applyAlignment="1">
      <alignment horizontal="left" vertical="top" wrapText="1"/>
    </xf>
    <xf numFmtId="0" fontId="7" fillId="10" borderId="68" xfId="0" quotePrefix="1" applyFont="1" applyFill="1" applyBorder="1" applyAlignment="1">
      <alignment horizontal="center" vertical="top" wrapText="1"/>
    </xf>
    <xf numFmtId="0" fontId="7" fillId="10" borderId="68" xfId="0" applyFont="1" applyFill="1" applyBorder="1" applyAlignment="1">
      <alignment horizontal="center" vertical="top" wrapText="1"/>
    </xf>
    <xf numFmtId="0" fontId="23" fillId="10" borderId="69" xfId="0" applyFont="1" applyFill="1" applyBorder="1" applyAlignment="1">
      <alignment vertical="top" wrapText="1"/>
    </xf>
    <xf numFmtId="0" fontId="23" fillId="10" borderId="70" xfId="0" applyFont="1" applyFill="1" applyBorder="1" applyAlignment="1">
      <alignment vertical="top" wrapText="1"/>
    </xf>
    <xf numFmtId="9" fontId="7" fillId="10" borderId="68" xfId="3" applyFont="1" applyFill="1" applyBorder="1" applyAlignment="1">
      <alignment horizontal="right" vertical="top"/>
    </xf>
    <xf numFmtId="41" fontId="7" fillId="10" borderId="68" xfId="1" applyFont="1" applyFill="1" applyBorder="1" applyAlignment="1">
      <alignment vertical="top" wrapText="1"/>
    </xf>
    <xf numFmtId="9" fontId="7" fillId="10" borderId="68" xfId="0" applyNumberFormat="1" applyFont="1" applyFill="1" applyBorder="1" applyAlignment="1">
      <alignment horizontal="right" vertical="top"/>
    </xf>
    <xf numFmtId="10" fontId="8" fillId="10" borderId="68" xfId="3" applyNumberFormat="1" applyFont="1" applyFill="1" applyBorder="1" applyAlignment="1">
      <alignment vertical="top" wrapText="1"/>
    </xf>
    <xf numFmtId="41" fontId="7" fillId="10" borderId="68" xfId="0" applyNumberFormat="1" applyFont="1" applyFill="1" applyBorder="1" applyAlignment="1">
      <alignment vertical="top" wrapText="1"/>
    </xf>
    <xf numFmtId="166" fontId="8" fillId="10" borderId="68" xfId="1" applyNumberFormat="1" applyFont="1" applyFill="1" applyBorder="1" applyAlignment="1">
      <alignment vertical="top" wrapText="1"/>
    </xf>
    <xf numFmtId="9" fontId="8" fillId="9" borderId="62" xfId="0" applyNumberFormat="1" applyFont="1" applyFill="1" applyBorder="1" applyAlignment="1">
      <alignment horizontal="right" vertical="top" wrapText="1"/>
    </xf>
    <xf numFmtId="41" fontId="8" fillId="9" borderId="62" xfId="0" applyNumberFormat="1" applyFont="1" applyFill="1" applyBorder="1" applyAlignment="1">
      <alignment vertical="top"/>
    </xf>
    <xf numFmtId="0" fontId="8" fillId="9" borderId="62" xfId="0" applyFont="1" applyFill="1" applyBorder="1" applyAlignment="1">
      <alignment vertical="top"/>
    </xf>
    <xf numFmtId="9" fontId="8" fillId="9" borderId="62" xfId="0" applyNumberFormat="1" applyFont="1" applyFill="1" applyBorder="1" applyAlignment="1">
      <alignment vertical="top"/>
    </xf>
    <xf numFmtId="0" fontId="8" fillId="9" borderId="67" xfId="0" applyFont="1" applyFill="1" applyBorder="1" applyAlignment="1">
      <alignment vertical="top"/>
    </xf>
    <xf numFmtId="41" fontId="8" fillId="9" borderId="62" xfId="1" applyFont="1" applyFill="1" applyBorder="1" applyAlignment="1">
      <alignment vertical="top"/>
    </xf>
    <xf numFmtId="0" fontId="8" fillId="9" borderId="54" xfId="0" applyFont="1" applyFill="1" applyBorder="1" applyAlignment="1">
      <alignment vertical="top" wrapText="1"/>
    </xf>
    <xf numFmtId="0" fontId="15" fillId="9" borderId="67" xfId="0" applyFont="1" applyFill="1" applyBorder="1" applyAlignment="1">
      <alignment vertical="top" wrapText="1"/>
    </xf>
    <xf numFmtId="0" fontId="7" fillId="10" borderId="62" xfId="0" applyFont="1" applyFill="1" applyBorder="1" applyAlignment="1">
      <alignment vertical="top" wrapText="1"/>
    </xf>
    <xf numFmtId="0" fontId="7" fillId="10" borderId="62" xfId="0" quotePrefix="1" applyFont="1" applyFill="1" applyBorder="1" applyAlignment="1">
      <alignment horizontal="center" vertical="top" wrapText="1"/>
    </xf>
    <xf numFmtId="0" fontId="7" fillId="10" borderId="62" xfId="0" applyFont="1" applyFill="1" applyBorder="1" applyAlignment="1">
      <alignment horizontal="center" vertical="top" wrapText="1"/>
    </xf>
    <xf numFmtId="0" fontId="23" fillId="10" borderId="63" xfId="0" applyFont="1" applyFill="1" applyBorder="1" applyAlignment="1">
      <alignment vertical="top" wrapText="1"/>
    </xf>
    <xf numFmtId="0" fontId="7" fillId="10" borderId="67" xfId="0" applyFont="1" applyFill="1" applyBorder="1" applyAlignment="1">
      <alignment horizontal="left" vertical="top" wrapText="1"/>
    </xf>
    <xf numFmtId="0" fontId="7" fillId="10" borderId="71" xfId="0" applyFont="1" applyFill="1" applyBorder="1" applyAlignment="1">
      <alignment horizontal="left" vertical="top" wrapText="1"/>
    </xf>
    <xf numFmtId="9" fontId="7" fillId="10" borderId="62" xfId="3" applyFont="1" applyFill="1" applyBorder="1" applyAlignment="1">
      <alignment horizontal="right" vertical="top"/>
    </xf>
    <xf numFmtId="41" fontId="17" fillId="10" borderId="62" xfId="1" applyFont="1" applyFill="1" applyBorder="1" applyAlignment="1">
      <alignment vertical="top" wrapText="1"/>
    </xf>
    <xf numFmtId="9" fontId="17" fillId="10" borderId="62" xfId="0" applyNumberFormat="1" applyFont="1" applyFill="1" applyBorder="1" applyAlignment="1">
      <alignment horizontal="right" vertical="top"/>
    </xf>
    <xf numFmtId="10" fontId="8" fillId="10" borderId="62" xfId="3" applyNumberFormat="1" applyFont="1" applyFill="1" applyBorder="1" applyAlignment="1">
      <alignment vertical="top" wrapText="1"/>
    </xf>
    <xf numFmtId="41" fontId="7" fillId="10" borderId="62" xfId="0" applyNumberFormat="1" applyFont="1" applyFill="1" applyBorder="1" applyAlignment="1">
      <alignment vertical="top" wrapText="1"/>
    </xf>
    <xf numFmtId="166" fontId="8" fillId="10" borderId="62" xfId="1" applyNumberFormat="1" applyFont="1" applyFill="1" applyBorder="1" applyAlignment="1">
      <alignment vertical="top" wrapText="1"/>
    </xf>
    <xf numFmtId="41" fontId="8" fillId="9" borderId="62" xfId="1" applyFont="1" applyFill="1" applyBorder="1" applyAlignment="1">
      <alignment horizontal="right" vertical="top" wrapText="1"/>
    </xf>
    <xf numFmtId="0" fontId="23" fillId="9" borderId="64" xfId="0" applyFont="1" applyFill="1" applyBorder="1" applyAlignment="1">
      <alignment vertical="top" wrapText="1"/>
    </xf>
    <xf numFmtId="41" fontId="8" fillId="9" borderId="62" xfId="1" quotePrefix="1" applyFont="1" applyFill="1" applyBorder="1" applyAlignment="1">
      <alignment vertical="top" wrapText="1"/>
    </xf>
    <xf numFmtId="0" fontId="23" fillId="10" borderId="64" xfId="0" applyFont="1" applyFill="1" applyBorder="1" applyAlignment="1">
      <alignment vertical="top" wrapText="1"/>
    </xf>
    <xf numFmtId="41" fontId="7" fillId="10" borderId="62" xfId="1" applyFont="1" applyFill="1" applyBorder="1" applyAlignment="1">
      <alignment vertical="top" wrapText="1"/>
    </xf>
    <xf numFmtId="10" fontId="7" fillId="10" borderId="62" xfId="3" applyNumberFormat="1" applyFont="1" applyFill="1" applyBorder="1" applyAlignment="1">
      <alignment vertical="top" wrapText="1"/>
    </xf>
    <xf numFmtId="41" fontId="7" fillId="10" borderId="62" xfId="1" applyNumberFormat="1" applyFont="1" applyFill="1" applyBorder="1" applyAlignment="1">
      <alignment vertical="top" wrapText="1"/>
    </xf>
    <xf numFmtId="41" fontId="7" fillId="10" borderId="62" xfId="1" applyFont="1" applyFill="1" applyBorder="1" applyAlignment="1">
      <alignment horizontal="center" vertical="top" wrapText="1"/>
    </xf>
    <xf numFmtId="0" fontId="7" fillId="11" borderId="65" xfId="0" applyFont="1" applyFill="1" applyBorder="1" applyAlignment="1">
      <alignment vertical="top" wrapText="1"/>
    </xf>
    <xf numFmtId="0" fontId="8" fillId="9" borderId="72" xfId="0" applyFont="1" applyFill="1" applyBorder="1" applyAlignment="1">
      <alignment vertical="top"/>
    </xf>
    <xf numFmtId="41" fontId="7" fillId="10" borderId="62" xfId="1" applyFont="1" applyFill="1" applyBorder="1" applyAlignment="1">
      <alignment horizontal="right" vertical="top"/>
    </xf>
    <xf numFmtId="41" fontId="8" fillId="10" borderId="62" xfId="0" applyNumberFormat="1" applyFont="1" applyFill="1" applyBorder="1" applyAlignment="1">
      <alignment vertical="top" wrapText="1"/>
    </xf>
    <xf numFmtId="41" fontId="8" fillId="9" borderId="62" xfId="1" applyNumberFormat="1" applyFont="1" applyFill="1" applyBorder="1" applyAlignment="1">
      <alignment vertical="top"/>
    </xf>
    <xf numFmtId="0" fontId="7" fillId="10" borderId="63" xfId="0" applyFont="1" applyFill="1" applyBorder="1" applyAlignment="1">
      <alignment vertical="top" wrapText="1"/>
    </xf>
    <xf numFmtId="0" fontId="7" fillId="10" borderId="62" xfId="0" applyFont="1" applyFill="1" applyBorder="1" applyAlignment="1">
      <alignment horizontal="left" vertical="top" wrapText="1"/>
    </xf>
    <xf numFmtId="0" fontId="7" fillId="9" borderId="65" xfId="0" applyFont="1" applyFill="1" applyBorder="1" applyAlignment="1">
      <alignment vertical="top" wrapText="1"/>
    </xf>
    <xf numFmtId="0" fontId="7" fillId="9" borderId="62" xfId="0" applyFont="1" applyFill="1" applyBorder="1" applyAlignment="1">
      <alignment vertical="top" wrapText="1"/>
    </xf>
    <xf numFmtId="0" fontId="7" fillId="9" borderId="62" xfId="0" quotePrefix="1" applyFont="1" applyFill="1" applyBorder="1" applyAlignment="1">
      <alignment horizontal="center" vertical="top" wrapText="1"/>
    </xf>
    <xf numFmtId="0" fontId="7" fillId="9" borderId="63" xfId="0" applyFont="1" applyFill="1" applyBorder="1" applyAlignment="1">
      <alignment vertical="top" wrapText="1"/>
    </xf>
    <xf numFmtId="0" fontId="7" fillId="9" borderId="62" xfId="0" applyFont="1" applyFill="1" applyBorder="1" applyAlignment="1">
      <alignment horizontal="left" vertical="top" wrapText="1"/>
    </xf>
    <xf numFmtId="41" fontId="7" fillId="9" borderId="62" xfId="1" applyFont="1" applyFill="1" applyBorder="1" applyAlignment="1">
      <alignment vertical="top" wrapText="1"/>
    </xf>
    <xf numFmtId="41" fontId="7" fillId="9" borderId="62" xfId="1" applyNumberFormat="1" applyFont="1" applyFill="1" applyBorder="1" applyAlignment="1">
      <alignment vertical="top" wrapText="1"/>
    </xf>
    <xf numFmtId="0" fontId="7" fillId="9" borderId="62" xfId="0" applyFont="1" applyFill="1" applyBorder="1" applyAlignment="1">
      <alignment horizontal="center" vertical="top" wrapText="1"/>
    </xf>
    <xf numFmtId="0" fontId="15" fillId="9" borderId="64" xfId="0" applyFont="1" applyFill="1" applyBorder="1" applyAlignment="1">
      <alignment horizontal="left" vertical="top" wrapText="1"/>
    </xf>
    <xf numFmtId="0" fontId="8" fillId="0" borderId="67" xfId="0" applyFont="1" applyBorder="1" applyAlignment="1">
      <alignment horizontal="right" vertical="top"/>
    </xf>
    <xf numFmtId="9" fontId="8" fillId="9" borderId="62" xfId="1" applyNumberFormat="1" applyFont="1" applyFill="1" applyBorder="1" applyAlignment="1">
      <alignment horizontal="center" vertical="top" wrapText="1"/>
    </xf>
    <xf numFmtId="41" fontId="8" fillId="9" borderId="62" xfId="1" applyFont="1" applyFill="1" applyBorder="1" applyAlignment="1">
      <alignment horizontal="left" vertical="top" wrapText="1"/>
    </xf>
    <xf numFmtId="41" fontId="8" fillId="0" borderId="67" xfId="1" applyFont="1" applyBorder="1" applyAlignment="1">
      <alignment horizontal="right" vertical="top"/>
    </xf>
    <xf numFmtId="0" fontId="8" fillId="9" borderId="62" xfId="0" applyFont="1" applyFill="1" applyBorder="1" applyAlignment="1">
      <alignment horizontal="right" vertical="top" wrapText="1"/>
    </xf>
    <xf numFmtId="41" fontId="8" fillId="9" borderId="62" xfId="1" applyFont="1" applyFill="1" applyBorder="1" applyAlignment="1">
      <alignment horizontal="center" vertical="top" wrapText="1"/>
    </xf>
    <xf numFmtId="0" fontId="7" fillId="10" borderId="62" xfId="0" applyFont="1" applyFill="1" applyBorder="1" applyAlignment="1">
      <alignment horizontal="right" vertical="top" wrapText="1"/>
    </xf>
    <xf numFmtId="10" fontId="7" fillId="10" borderId="62" xfId="3" applyNumberFormat="1" applyFont="1" applyFill="1" applyBorder="1" applyAlignment="1">
      <alignment horizontal="right" vertical="top" wrapText="1"/>
    </xf>
    <xf numFmtId="0" fontId="8" fillId="10" borderId="62" xfId="0" applyFont="1" applyFill="1" applyBorder="1" applyAlignment="1">
      <alignment vertical="top" wrapText="1"/>
    </xf>
    <xf numFmtId="41" fontId="8" fillId="10" borderId="62" xfId="1" applyFont="1" applyFill="1" applyBorder="1" applyAlignment="1">
      <alignment vertical="top" wrapText="1"/>
    </xf>
    <xf numFmtId="41" fontId="8" fillId="10" borderId="62" xfId="1" applyFont="1" applyFill="1" applyBorder="1" applyAlignment="1">
      <alignment horizontal="center" vertical="top" wrapText="1"/>
    </xf>
    <xf numFmtId="41" fontId="8" fillId="9" borderId="63" xfId="1" applyFont="1" applyFill="1" applyBorder="1" applyAlignment="1">
      <alignment vertical="top" wrapText="1"/>
    </xf>
    <xf numFmtId="41" fontId="8" fillId="9" borderId="67" xfId="1" applyFont="1" applyFill="1" applyBorder="1" applyAlignment="1">
      <alignment vertical="top" wrapText="1"/>
    </xf>
    <xf numFmtId="0" fontId="8" fillId="0" borderId="62" xfId="0" applyFont="1" applyBorder="1" applyAlignment="1">
      <alignment horizontal="left" vertical="top" wrapText="1"/>
    </xf>
    <xf numFmtId="41" fontId="8" fillId="9" borderId="62" xfId="0" quotePrefix="1" applyNumberFormat="1" applyFont="1" applyFill="1" applyBorder="1" applyAlignment="1">
      <alignment horizontal="center" vertical="top" wrapText="1"/>
    </xf>
    <xf numFmtId="41" fontId="8" fillId="9" borderId="62" xfId="0" quotePrefix="1" applyNumberFormat="1" applyFont="1" applyFill="1" applyBorder="1" applyAlignment="1">
      <alignment vertical="top" wrapText="1"/>
    </xf>
    <xf numFmtId="0" fontId="8" fillId="0" borderId="62" xfId="0" applyFont="1" applyBorder="1" applyAlignment="1">
      <alignment horizontal="right" vertical="top" wrapText="1"/>
    </xf>
    <xf numFmtId="41" fontId="8" fillId="9" borderId="62" xfId="0" applyNumberFormat="1" applyFont="1" applyFill="1" applyBorder="1" applyAlignment="1">
      <alignment horizontal="left" vertical="top" wrapText="1"/>
    </xf>
    <xf numFmtId="0" fontId="8" fillId="9" borderId="62" xfId="0" applyFont="1" applyFill="1" applyBorder="1" applyAlignment="1">
      <alignment horizontal="right" vertical="top"/>
    </xf>
    <xf numFmtId="41" fontId="7" fillId="10" borderId="62" xfId="1" applyFont="1" applyFill="1" applyBorder="1" applyAlignment="1">
      <alignment horizontal="right" vertical="top" wrapText="1"/>
    </xf>
    <xf numFmtId="0" fontId="7" fillId="10" borderId="65" xfId="0" applyFont="1" applyFill="1" applyBorder="1" applyAlignment="1">
      <alignment vertical="top" wrapText="1"/>
    </xf>
    <xf numFmtId="0" fontId="7" fillId="10" borderId="0" xfId="0" applyFont="1" applyFill="1"/>
    <xf numFmtId="0" fontId="7" fillId="10" borderId="12" xfId="0" applyFont="1" applyFill="1" applyBorder="1" applyAlignment="1">
      <alignment horizontal="left" vertical="top" wrapText="1"/>
    </xf>
    <xf numFmtId="41" fontId="7" fillId="10" borderId="67" xfId="0" applyNumberFormat="1" applyFont="1" applyFill="1" applyBorder="1" applyAlignment="1">
      <alignment vertical="top"/>
    </xf>
    <xf numFmtId="0" fontId="8" fillId="9" borderId="62" xfId="0" quotePrefix="1" applyFont="1" applyFill="1" applyBorder="1" applyAlignment="1">
      <alignment horizontal="center" vertical="top"/>
    </xf>
    <xf numFmtId="0" fontId="8" fillId="9" borderId="62" xfId="0" applyFont="1" applyFill="1" applyBorder="1" applyAlignment="1">
      <alignment horizontal="center" vertical="top"/>
    </xf>
    <xf numFmtId="41" fontId="8" fillId="9" borderId="63" xfId="1" applyFont="1" applyFill="1" applyBorder="1" applyAlignment="1">
      <alignment vertical="top"/>
    </xf>
    <xf numFmtId="0" fontId="8" fillId="9" borderId="64" xfId="0" applyFont="1" applyFill="1" applyBorder="1" applyAlignment="1">
      <alignment vertical="top"/>
    </xf>
    <xf numFmtId="41" fontId="8" fillId="9" borderId="67" xfId="1" applyFont="1" applyFill="1" applyBorder="1" applyAlignment="1">
      <alignment horizontal="center" vertical="top"/>
    </xf>
    <xf numFmtId="0" fontId="8" fillId="9" borderId="73" xfId="0" applyFont="1" applyFill="1" applyBorder="1" applyAlignment="1">
      <alignment vertical="top"/>
    </xf>
    <xf numFmtId="0" fontId="8" fillId="9" borderId="73" xfId="0" quotePrefix="1" applyFont="1" applyFill="1" applyBorder="1" applyAlignment="1">
      <alignment horizontal="center" vertical="top"/>
    </xf>
    <xf numFmtId="0" fontId="8" fillId="9" borderId="73" xfId="0" applyFont="1" applyFill="1" applyBorder="1" applyAlignment="1">
      <alignment horizontal="center" vertical="top"/>
    </xf>
    <xf numFmtId="0" fontId="8" fillId="9" borderId="74" xfId="0" applyFont="1" applyFill="1" applyBorder="1" applyAlignment="1">
      <alignment vertical="top"/>
    </xf>
    <xf numFmtId="0" fontId="15" fillId="9" borderId="75" xfId="0" applyFont="1" applyFill="1" applyBorder="1" applyAlignment="1">
      <alignment vertical="top" wrapText="1"/>
    </xf>
    <xf numFmtId="0" fontId="8" fillId="9" borderId="73" xfId="0" applyFont="1" applyFill="1" applyBorder="1" applyAlignment="1">
      <alignment horizontal="left" vertical="top" wrapText="1"/>
    </xf>
    <xf numFmtId="0" fontId="8" fillId="9" borderId="73" xfId="0" applyFont="1" applyFill="1" applyBorder="1" applyAlignment="1">
      <alignment vertical="top" wrapText="1"/>
    </xf>
    <xf numFmtId="41" fontId="8" fillId="9" borderId="73" xfId="1" applyFont="1" applyFill="1" applyBorder="1" applyAlignment="1">
      <alignment vertical="top" wrapText="1"/>
    </xf>
    <xf numFmtId="0" fontId="8" fillId="9" borderId="73" xfId="0" applyFont="1" applyFill="1" applyBorder="1" applyAlignment="1">
      <alignment horizontal="right" vertical="top" wrapText="1"/>
    </xf>
    <xf numFmtId="41" fontId="8" fillId="9" borderId="73" xfId="1" applyFont="1" applyFill="1" applyBorder="1" applyAlignment="1">
      <alignment horizontal="right" vertical="top" wrapText="1"/>
    </xf>
    <xf numFmtId="41" fontId="8" fillId="9" borderId="73" xfId="1" applyNumberFormat="1" applyFont="1" applyFill="1" applyBorder="1" applyAlignment="1">
      <alignment vertical="top" wrapText="1"/>
    </xf>
    <xf numFmtId="0" fontId="8" fillId="9" borderId="73" xfId="0" applyFont="1" applyFill="1" applyBorder="1" applyAlignment="1">
      <alignment horizontal="center" vertical="top" wrapText="1"/>
    </xf>
    <xf numFmtId="41" fontId="8" fillId="9" borderId="73" xfId="0" applyNumberFormat="1" applyFont="1" applyFill="1" applyBorder="1" applyAlignment="1">
      <alignment vertical="top" wrapText="1"/>
    </xf>
    <xf numFmtId="166" fontId="8" fillId="9" borderId="73" xfId="1" applyNumberFormat="1" applyFont="1" applyFill="1" applyBorder="1" applyAlignment="1">
      <alignment vertical="top" wrapText="1"/>
    </xf>
    <xf numFmtId="0" fontId="15" fillId="9" borderId="76" xfId="0" applyFont="1" applyFill="1" applyBorder="1" applyAlignment="1">
      <alignment vertical="top"/>
    </xf>
    <xf numFmtId="0" fontId="15" fillId="9" borderId="77" xfId="0" applyFont="1" applyFill="1" applyBorder="1" applyAlignment="1">
      <alignment vertical="top"/>
    </xf>
    <xf numFmtId="0" fontId="8" fillId="9" borderId="77" xfId="0" applyFont="1" applyFill="1" applyBorder="1" applyAlignment="1">
      <alignment horizontal="center" vertical="top"/>
    </xf>
    <xf numFmtId="0" fontId="8" fillId="9" borderId="77" xfId="0" applyFont="1" applyFill="1" applyBorder="1" applyAlignment="1">
      <alignment vertical="top"/>
    </xf>
    <xf numFmtId="0" fontId="23" fillId="9" borderId="78" xfId="0" applyFont="1" applyFill="1" applyBorder="1" applyAlignment="1">
      <alignment horizontal="left" vertical="top" wrapText="1"/>
    </xf>
    <xf numFmtId="0" fontId="8" fillId="9" borderId="79" xfId="0" applyFont="1" applyFill="1" applyBorder="1" applyAlignment="1">
      <alignment horizontal="left" vertical="top" wrapText="1"/>
    </xf>
    <xf numFmtId="9" fontId="7" fillId="9" borderId="79" xfId="3" applyFont="1" applyFill="1" applyBorder="1" applyAlignment="1">
      <alignment vertical="top" wrapText="1"/>
    </xf>
    <xf numFmtId="41" fontId="7" fillId="9" borderId="79" xfId="1" applyFont="1" applyFill="1" applyBorder="1" applyAlignment="1">
      <alignment vertical="top" wrapText="1"/>
    </xf>
    <xf numFmtId="10" fontId="7" fillId="9" borderId="79" xfId="3" applyNumberFormat="1" applyFont="1" applyFill="1" applyBorder="1" applyAlignment="1">
      <alignment vertical="top" wrapText="1"/>
    </xf>
    <xf numFmtId="10" fontId="7" fillId="9" borderId="79" xfId="3" applyNumberFormat="1" applyFont="1" applyFill="1" applyBorder="1" applyAlignment="1">
      <alignment horizontal="right" vertical="top" wrapText="1"/>
    </xf>
    <xf numFmtId="0" fontId="7" fillId="9" borderId="79" xfId="0" applyFont="1" applyFill="1" applyBorder="1" applyAlignment="1">
      <alignment vertical="top" wrapText="1"/>
    </xf>
    <xf numFmtId="0" fontId="7" fillId="9" borderId="79" xfId="0" applyFont="1" applyFill="1" applyBorder="1" applyAlignment="1">
      <alignment horizontal="center" vertical="top" wrapText="1"/>
    </xf>
    <xf numFmtId="10" fontId="7" fillId="9" borderId="65" xfId="3" applyNumberFormat="1" applyFont="1" applyFill="1" applyBorder="1" applyAlignment="1">
      <alignment vertical="top" wrapText="1"/>
    </xf>
    <xf numFmtId="166" fontId="7" fillId="9" borderId="79" xfId="1" applyNumberFormat="1" applyFont="1" applyFill="1" applyBorder="1" applyAlignment="1">
      <alignment vertical="top" wrapText="1"/>
    </xf>
    <xf numFmtId="0" fontId="15" fillId="9" borderId="80" xfId="0" applyFont="1" applyFill="1" applyBorder="1" applyAlignment="1">
      <alignment vertical="top"/>
    </xf>
    <xf numFmtId="0" fontId="15" fillId="9" borderId="81" xfId="0" applyFont="1" applyFill="1" applyBorder="1" applyAlignment="1">
      <alignment vertical="top"/>
    </xf>
    <xf numFmtId="0" fontId="15" fillId="9" borderId="82" xfId="0" applyFont="1" applyFill="1" applyBorder="1" applyAlignment="1">
      <alignment vertical="top"/>
    </xf>
    <xf numFmtId="41" fontId="8" fillId="9" borderId="83" xfId="1" applyNumberFormat="1" applyFont="1" applyFill="1" applyBorder="1" applyAlignment="1">
      <alignment vertical="top" wrapText="1"/>
    </xf>
    <xf numFmtId="41" fontId="8" fillId="9" borderId="83" xfId="1" applyFont="1" applyFill="1" applyBorder="1" applyAlignment="1">
      <alignment vertical="top" wrapText="1"/>
    </xf>
    <xf numFmtId="0" fontId="8" fillId="9" borderId="83" xfId="0" applyFont="1" applyFill="1" applyBorder="1" applyAlignment="1">
      <alignment horizontal="center" vertical="top" wrapText="1"/>
    </xf>
    <xf numFmtId="0" fontId="8" fillId="9" borderId="0" xfId="0" applyFont="1" applyFill="1" applyAlignment="1">
      <alignment vertical="top"/>
    </xf>
    <xf numFmtId="0" fontId="2" fillId="0" borderId="9" xfId="0" applyFont="1" applyBorder="1" applyAlignment="1">
      <alignment vertical="center" wrapText="1"/>
    </xf>
    <xf numFmtId="0" fontId="27" fillId="0" borderId="1" xfId="0" applyFont="1" applyFill="1" applyBorder="1" applyAlignment="1">
      <alignment horizontal="center" vertical="top"/>
    </xf>
    <xf numFmtId="0" fontId="27" fillId="0" borderId="1" xfId="0" quotePrefix="1" applyFont="1" applyFill="1" applyBorder="1" applyAlignment="1">
      <alignment horizontal="center" vertical="top"/>
    </xf>
    <xf numFmtId="0" fontId="2" fillId="0" borderId="4" xfId="0" applyFont="1" applyBorder="1" applyAlignment="1">
      <alignment horizontal="center" vertical="top"/>
    </xf>
    <xf numFmtId="0" fontId="2" fillId="0" borderId="4" xfId="0" applyFont="1" applyBorder="1" applyAlignment="1">
      <alignment vertical="top" wrapText="1"/>
    </xf>
    <xf numFmtId="0" fontId="2" fillId="0" borderId="4" xfId="0" applyFont="1" applyBorder="1" applyAlignment="1">
      <alignment horizontal="center" vertical="top" wrapText="1"/>
    </xf>
    <xf numFmtId="41" fontId="2" fillId="0" borderId="4" xfId="1" applyFont="1" applyBorder="1" applyAlignment="1">
      <alignment horizontal="center" vertical="top"/>
    </xf>
    <xf numFmtId="172" fontId="2" fillId="0" borderId="4" xfId="2" applyNumberFormat="1" applyFont="1" applyBorder="1" applyAlignment="1">
      <alignment horizontal="center" vertical="top"/>
    </xf>
    <xf numFmtId="0" fontId="2" fillId="0" borderId="1" xfId="0" applyFont="1" applyBorder="1" applyAlignment="1">
      <alignment horizontal="center" vertical="top" wrapText="1"/>
    </xf>
    <xf numFmtId="172" fontId="2" fillId="0" borderId="1" xfId="2" applyNumberFormat="1" applyFont="1" applyBorder="1" applyAlignment="1">
      <alignment horizontal="center" vertical="top" wrapText="1"/>
    </xf>
    <xf numFmtId="0" fontId="2" fillId="0" borderId="1" xfId="0" applyFont="1" applyBorder="1" applyAlignment="1">
      <alignment horizontal="center" vertical="top"/>
    </xf>
    <xf numFmtId="172" fontId="2" fillId="0" borderId="1" xfId="2" applyNumberFormat="1" applyFont="1" applyBorder="1" applyAlignment="1">
      <alignment horizontal="center" vertical="top"/>
    </xf>
    <xf numFmtId="41" fontId="2" fillId="0" borderId="4" xfId="1" applyNumberFormat="1" applyFont="1" applyBorder="1" applyAlignment="1">
      <alignment horizontal="center" vertical="top"/>
    </xf>
    <xf numFmtId="1" fontId="2" fillId="0" borderId="4" xfId="0" applyNumberFormat="1" applyFont="1" applyBorder="1" applyAlignment="1">
      <alignment horizontal="center" vertical="top"/>
    </xf>
    <xf numFmtId="2" fontId="2" fillId="0" borderId="4" xfId="0" applyNumberFormat="1" applyFont="1" applyBorder="1" applyAlignment="1">
      <alignment horizontal="center" vertical="top"/>
    </xf>
    <xf numFmtId="0" fontId="2" fillId="0" borderId="0" xfId="0" applyFont="1" applyAlignment="1">
      <alignment vertical="top"/>
    </xf>
    <xf numFmtId="0" fontId="27" fillId="9" borderId="1" xfId="0" applyFont="1" applyFill="1" applyBorder="1" applyAlignment="1">
      <alignment horizontal="center" vertical="top"/>
    </xf>
    <xf numFmtId="0" fontId="27" fillId="9" borderId="1" xfId="0" quotePrefix="1" applyFont="1" applyFill="1" applyBorder="1" applyAlignment="1">
      <alignment horizontal="center" vertical="top"/>
    </xf>
    <xf numFmtId="169" fontId="2" fillId="0" borderId="4" xfId="2" applyNumberFormat="1" applyFont="1" applyBorder="1" applyAlignment="1">
      <alignment horizontal="center" vertical="top"/>
    </xf>
    <xf numFmtId="0" fontId="2" fillId="0" borderId="4" xfId="0" quotePrefix="1" applyFont="1" applyBorder="1" applyAlignment="1">
      <alignment horizontal="center" vertical="top"/>
    </xf>
    <xf numFmtId="0" fontId="2" fillId="12" borderId="4" xfId="0" applyFont="1" applyFill="1" applyBorder="1" applyAlignment="1">
      <alignment vertical="top"/>
    </xf>
    <xf numFmtId="0" fontId="2" fillId="12" borderId="1" xfId="0" applyFont="1" applyFill="1" applyBorder="1" applyAlignment="1">
      <alignment horizontal="left" vertical="top" wrapText="1"/>
    </xf>
    <xf numFmtId="0" fontId="27" fillId="12" borderId="1" xfId="0" applyFont="1" applyFill="1" applyBorder="1" applyAlignment="1">
      <alignment horizontal="center" vertical="top"/>
    </xf>
    <xf numFmtId="0" fontId="27" fillId="12" borderId="1" xfId="0" quotePrefix="1" applyFont="1" applyFill="1" applyBorder="1" applyAlignment="1">
      <alignment horizontal="center" vertical="top"/>
    </xf>
    <xf numFmtId="0" fontId="2" fillId="12" borderId="4" xfId="0" applyFont="1" applyFill="1" applyBorder="1" applyAlignment="1">
      <alignment horizontal="center" vertical="top"/>
    </xf>
    <xf numFmtId="41" fontId="27" fillId="12" borderId="1" xfId="1" applyFont="1" applyFill="1" applyBorder="1" applyAlignment="1">
      <alignment horizontal="center" vertical="top"/>
    </xf>
    <xf numFmtId="2" fontId="27" fillId="12" borderId="1" xfId="0" applyNumberFormat="1" applyFont="1" applyFill="1" applyBorder="1" applyAlignment="1">
      <alignment horizontal="center" vertical="top"/>
    </xf>
    <xf numFmtId="0" fontId="27" fillId="12" borderId="1" xfId="0" applyFont="1" applyFill="1" applyBorder="1" applyAlignment="1">
      <alignment vertical="top"/>
    </xf>
    <xf numFmtId="0" fontId="2" fillId="0" borderId="1" xfId="0" applyFont="1" applyBorder="1" applyAlignment="1">
      <alignment horizontal="left" vertical="top" wrapText="1"/>
    </xf>
    <xf numFmtId="0" fontId="2" fillId="0" borderId="5" xfId="0" applyFont="1" applyBorder="1" applyAlignment="1">
      <alignment horizontal="center" vertical="top" wrapText="1"/>
    </xf>
    <xf numFmtId="164" fontId="2" fillId="0" borderId="2" xfId="1" applyNumberFormat="1" applyFont="1" applyFill="1" applyBorder="1" applyAlignment="1">
      <alignment horizontal="center" vertical="top"/>
    </xf>
    <xf numFmtId="0" fontId="2" fillId="0" borderId="8" xfId="0" applyFont="1" applyBorder="1" applyAlignment="1">
      <alignment horizontal="center" vertical="top"/>
    </xf>
    <xf numFmtId="0" fontId="2" fillId="0" borderId="11" xfId="0" applyFont="1" applyBorder="1" applyAlignment="1">
      <alignment horizontal="left" vertical="top" wrapText="1"/>
    </xf>
    <xf numFmtId="0" fontId="2" fillId="0" borderId="1" xfId="1" applyNumberFormat="1" applyFont="1" applyFill="1" applyBorder="1" applyAlignment="1" applyProtection="1">
      <alignment horizontal="center" vertical="top"/>
    </xf>
    <xf numFmtId="164" fontId="2" fillId="0" borderId="1" xfId="1" applyNumberFormat="1" applyFont="1" applyFill="1" applyBorder="1" applyAlignment="1">
      <alignment horizontal="center" vertical="top"/>
    </xf>
    <xf numFmtId="0" fontId="2" fillId="0" borderId="7" xfId="0" applyNumberFormat="1"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164" fontId="2" fillId="0" borderId="1" xfId="2" applyNumberFormat="1"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NumberFormat="1" applyFont="1" applyBorder="1" applyAlignment="1">
      <alignment horizontal="center" vertical="top" wrapText="1"/>
    </xf>
    <xf numFmtId="0" fontId="2" fillId="12" borderId="1" xfId="0" applyFont="1" applyFill="1" applyBorder="1" applyAlignment="1">
      <alignment vertical="center" wrapText="1"/>
    </xf>
    <xf numFmtId="0" fontId="27" fillId="12" borderId="4" xfId="0" applyFont="1" applyFill="1" applyBorder="1" applyAlignment="1">
      <alignment horizontal="center" vertical="top"/>
    </xf>
    <xf numFmtId="0" fontId="27" fillId="12" borderId="4" xfId="0" quotePrefix="1" applyFont="1" applyFill="1" applyBorder="1" applyAlignment="1">
      <alignment horizontal="center" vertical="top"/>
    </xf>
    <xf numFmtId="0" fontId="27" fillId="9" borderId="4" xfId="0" applyFont="1" applyFill="1" applyBorder="1" applyAlignment="1">
      <alignment horizontal="center" vertical="top"/>
    </xf>
    <xf numFmtId="0" fontId="27" fillId="9" borderId="4" xfId="0" quotePrefix="1" applyFont="1" applyFill="1" applyBorder="1" applyAlignment="1">
      <alignment horizontal="center" vertical="top"/>
    </xf>
    <xf numFmtId="0" fontId="27" fillId="0" borderId="1" xfId="0" applyFont="1" applyBorder="1" applyAlignment="1">
      <alignment vertical="top" wrapText="1"/>
    </xf>
    <xf numFmtId="0" fontId="27" fillId="0" borderId="1" xfId="0" applyFont="1" applyBorder="1" applyAlignment="1">
      <alignment vertical="center" wrapText="1"/>
    </xf>
    <xf numFmtId="0" fontId="2" fillId="9" borderId="4" xfId="0" quotePrefix="1" applyFont="1" applyFill="1" applyBorder="1" applyAlignment="1">
      <alignment horizontal="center" vertical="top"/>
    </xf>
    <xf numFmtId="0" fontId="2" fillId="12" borderId="1" xfId="0" applyFont="1" applyFill="1" applyBorder="1" applyAlignment="1">
      <alignment vertical="top"/>
    </xf>
    <xf numFmtId="41" fontId="27" fillId="12" borderId="1" xfId="0" applyNumberFormat="1" applyFont="1" applyFill="1" applyBorder="1" applyAlignment="1">
      <alignment horizontal="center" vertical="top"/>
    </xf>
    <xf numFmtId="172" fontId="27" fillId="12" borderId="1" xfId="0" applyNumberFormat="1" applyFont="1" applyFill="1" applyBorder="1" applyAlignment="1">
      <alignment horizontal="center" vertical="top"/>
    </xf>
    <xf numFmtId="0" fontId="2" fillId="0" borderId="4" xfId="0" applyFont="1" applyBorder="1" applyAlignment="1">
      <alignment horizontal="left" vertical="top" wrapText="1"/>
    </xf>
    <xf numFmtId="166" fontId="2" fillId="0" borderId="4" xfId="1" applyNumberFormat="1" applyFont="1" applyBorder="1" applyAlignment="1">
      <alignment horizontal="center" vertical="top"/>
    </xf>
    <xf numFmtId="0" fontId="2" fillId="0" borderId="1" xfId="0" applyNumberFormat="1" applyFont="1" applyBorder="1" applyAlignment="1">
      <alignment horizontal="center" vertical="top"/>
    </xf>
    <xf numFmtId="41" fontId="2" fillId="0" borderId="4" xfId="0" applyNumberFormat="1" applyFont="1" applyBorder="1" applyAlignment="1">
      <alignment horizontal="center" vertical="top"/>
    </xf>
    <xf numFmtId="0" fontId="2" fillId="12" borderId="1" xfId="0" applyFont="1" applyFill="1" applyBorder="1" applyAlignment="1">
      <alignment horizontal="center" vertical="top"/>
    </xf>
    <xf numFmtId="0" fontId="2" fillId="0" borderId="1" xfId="0" applyFont="1" applyFill="1" applyBorder="1" applyAlignment="1">
      <alignment horizontal="center" vertical="top" wrapText="1"/>
    </xf>
    <xf numFmtId="9" fontId="2" fillId="0" borderId="1" xfId="0" applyNumberFormat="1" applyFont="1" applyBorder="1" applyAlignment="1">
      <alignment horizontal="center" vertical="top" wrapText="1"/>
    </xf>
    <xf numFmtId="41" fontId="2" fillId="12" borderId="1" xfId="1" applyFont="1" applyFill="1" applyBorder="1" applyAlignment="1">
      <alignment horizontal="center" vertical="top"/>
    </xf>
    <xf numFmtId="2" fontId="2" fillId="12" borderId="1" xfId="0" applyNumberFormat="1" applyFont="1" applyFill="1" applyBorder="1" applyAlignment="1">
      <alignment horizontal="center" vertical="top"/>
    </xf>
    <xf numFmtId="0" fontId="2" fillId="0" borderId="1" xfId="0" applyNumberFormat="1" applyFont="1" applyBorder="1" applyAlignment="1">
      <alignment horizontal="center" vertical="top" wrapText="1"/>
    </xf>
    <xf numFmtId="0" fontId="2" fillId="3" borderId="1" xfId="0" applyFont="1" applyFill="1" applyBorder="1" applyAlignment="1">
      <alignment vertical="top"/>
    </xf>
    <xf numFmtId="41" fontId="6" fillId="13" borderId="1" xfId="0" applyNumberFormat="1" applyFont="1" applyFill="1" applyBorder="1"/>
    <xf numFmtId="0" fontId="2" fillId="13" borderId="1" xfId="0" applyFont="1" applyFill="1" applyBorder="1"/>
    <xf numFmtId="2" fontId="2" fillId="13" borderId="1" xfId="0" applyNumberFormat="1" applyFont="1" applyFill="1" applyBorder="1"/>
    <xf numFmtId="0" fontId="2" fillId="12" borderId="11" xfId="0" applyFont="1" applyFill="1" applyBorder="1" applyAlignment="1">
      <alignment vertical="top"/>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11" xfId="0" applyFont="1" applyBorder="1" applyAlignment="1">
      <alignment vertical="center" wrapText="1"/>
    </xf>
    <xf numFmtId="0" fontId="2" fillId="0" borderId="1" xfId="0" applyFont="1" applyBorder="1" applyAlignment="1">
      <alignment horizontal="center" vertical="center" wrapText="1"/>
    </xf>
    <xf numFmtId="0" fontId="2" fillId="0" borderId="11"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2" fillId="12" borderId="7" xfId="0" applyFont="1" applyFill="1" applyBorder="1" applyAlignment="1">
      <alignment horizontal="center" vertical="center"/>
    </xf>
    <xf numFmtId="0" fontId="29" fillId="0" borderId="0" xfId="0" applyFont="1"/>
    <xf numFmtId="41" fontId="29" fillId="0" borderId="0" xfId="0" applyNumberFormat="1" applyFont="1"/>
    <xf numFmtId="0" fontId="30" fillId="0" borderId="0" xfId="0" applyFont="1"/>
    <xf numFmtId="1" fontId="30" fillId="0" borderId="0" xfId="0" applyNumberFormat="1" applyFont="1"/>
    <xf numFmtId="0" fontId="29" fillId="0" borderId="0" xfId="0" applyFont="1" applyAlignment="1">
      <alignment wrapText="1"/>
    </xf>
    <xf numFmtId="165" fontId="30" fillId="0" borderId="0" xfId="0" applyNumberFormat="1" applyFont="1"/>
    <xf numFmtId="168" fontId="29" fillId="0" borderId="0" xfId="0" applyNumberFormat="1" applyFont="1"/>
    <xf numFmtId="0" fontId="29" fillId="0" borderId="0" xfId="0" applyFont="1" applyBorder="1"/>
    <xf numFmtId="0" fontId="29" fillId="0" borderId="0" xfId="0" applyFont="1" applyAlignment="1">
      <alignment vertical="top" wrapText="1"/>
    </xf>
    <xf numFmtId="0" fontId="29" fillId="0" borderId="0" xfId="0" applyFont="1" applyAlignment="1">
      <alignment vertical="center" wrapText="1"/>
    </xf>
    <xf numFmtId="164" fontId="29" fillId="0" borderId="0" xfId="0" applyNumberFormat="1" applyFont="1"/>
    <xf numFmtId="0" fontId="29" fillId="0" borderId="0" xfId="0" applyFont="1" applyAlignment="1">
      <alignment vertical="center"/>
    </xf>
    <xf numFmtId="2" fontId="29" fillId="0" borderId="0" xfId="0" applyNumberFormat="1" applyFont="1" applyAlignment="1">
      <alignment vertical="center"/>
    </xf>
    <xf numFmtId="0" fontId="8" fillId="0" borderId="2" xfId="0" applyFont="1" applyBorder="1"/>
    <xf numFmtId="0" fontId="23" fillId="0" borderId="50" xfId="0" applyFont="1" applyBorder="1" applyAlignment="1">
      <alignment vertical="top" wrapText="1"/>
    </xf>
    <xf numFmtId="0" fontId="7" fillId="0" borderId="50" xfId="0" quotePrefix="1" applyFont="1" applyBorder="1" applyAlignment="1">
      <alignment vertical="top" wrapText="1"/>
    </xf>
    <xf numFmtId="0" fontId="7" fillId="0" borderId="50" xfId="0" applyFont="1" applyBorder="1" applyAlignment="1">
      <alignment vertical="top" wrapText="1"/>
    </xf>
    <xf numFmtId="41" fontId="7" fillId="0" borderId="50" xfId="1" applyFont="1" applyBorder="1" applyAlignment="1">
      <alignment vertical="top" wrapText="1"/>
    </xf>
    <xf numFmtId="41" fontId="8" fillId="0" borderId="50" xfId="1" applyFont="1" applyBorder="1" applyAlignment="1">
      <alignment vertical="top" wrapText="1"/>
    </xf>
    <xf numFmtId="41" fontId="8" fillId="0" borderId="50" xfId="0" applyNumberFormat="1" applyFont="1" applyBorder="1" applyAlignment="1">
      <alignment vertical="top" wrapText="1"/>
    </xf>
    <xf numFmtId="166" fontId="8" fillId="0" borderId="50" xfId="0" applyNumberFormat="1" applyFont="1" applyBorder="1" applyAlignment="1">
      <alignment vertical="top" wrapText="1"/>
    </xf>
    <xf numFmtId="0" fontId="7" fillId="0" borderId="46" xfId="0" quotePrefix="1" applyFont="1" applyBorder="1" applyAlignment="1">
      <alignment vertical="top" wrapText="1"/>
    </xf>
    <xf numFmtId="0" fontId="23" fillId="0" borderId="46" xfId="0" applyFont="1" applyBorder="1" applyAlignment="1">
      <alignment vertical="top" wrapText="1"/>
    </xf>
    <xf numFmtId="0" fontId="7" fillId="0" borderId="46" xfId="0" applyFont="1" applyBorder="1" applyAlignment="1">
      <alignment vertical="top" wrapText="1"/>
    </xf>
    <xf numFmtId="41" fontId="7" fillId="0" borderId="46" xfId="1" applyFont="1" applyBorder="1" applyAlignment="1">
      <alignment vertical="top" wrapText="1"/>
    </xf>
    <xf numFmtId="41" fontId="8" fillId="0" borderId="46" xfId="1" applyFont="1" applyBorder="1" applyAlignment="1">
      <alignment vertical="top" wrapText="1"/>
    </xf>
    <xf numFmtId="41" fontId="8" fillId="0" borderId="46" xfId="0" applyNumberFormat="1" applyFont="1" applyBorder="1" applyAlignment="1">
      <alignment vertical="top" wrapText="1"/>
    </xf>
    <xf numFmtId="166" fontId="8" fillId="0" borderId="46" xfId="0" applyNumberFormat="1" applyFont="1" applyBorder="1" applyAlignment="1">
      <alignment vertical="top" wrapText="1"/>
    </xf>
    <xf numFmtId="0" fontId="15" fillId="0" borderId="46" xfId="0" applyFont="1" applyBorder="1" applyAlignment="1">
      <alignment vertical="top" wrapText="1"/>
    </xf>
    <xf numFmtId="0" fontId="8" fillId="0" borderId="46" xfId="0" applyFont="1" applyFill="1" applyBorder="1" applyAlignment="1">
      <alignment horizontal="left" vertical="top" wrapText="1"/>
    </xf>
    <xf numFmtId="164" fontId="8" fillId="0" borderId="46" xfId="1" applyNumberFormat="1" applyFont="1" applyFill="1" applyBorder="1" applyAlignment="1">
      <alignment horizontal="right" vertical="top"/>
    </xf>
    <xf numFmtId="164" fontId="8" fillId="0" borderId="46" xfId="0" applyNumberFormat="1" applyFont="1" applyFill="1" applyBorder="1" applyAlignment="1">
      <alignment horizontal="right" vertical="top"/>
    </xf>
    <xf numFmtId="164" fontId="8" fillId="0" borderId="46" xfId="0" applyNumberFormat="1" applyFont="1" applyBorder="1" applyAlignment="1">
      <alignment vertical="top" wrapText="1"/>
    </xf>
    <xf numFmtId="164" fontId="7" fillId="0" borderId="46" xfId="0" applyNumberFormat="1" applyFont="1" applyBorder="1" applyAlignment="1">
      <alignment vertical="top" wrapText="1"/>
    </xf>
    <xf numFmtId="0" fontId="8" fillId="0" borderId="46" xfId="0" applyFont="1" applyBorder="1" applyAlignment="1">
      <alignment vertical="top" wrapText="1"/>
    </xf>
    <xf numFmtId="43" fontId="8" fillId="0" borderId="46" xfId="0" applyNumberFormat="1" applyFont="1" applyBorder="1" applyAlignment="1">
      <alignment vertical="top" wrapText="1"/>
    </xf>
    <xf numFmtId="0" fontId="8" fillId="0" borderId="87" xfId="0" applyFont="1" applyBorder="1" applyAlignment="1">
      <alignment horizontal="center" vertical="top" wrapText="1"/>
    </xf>
    <xf numFmtId="0" fontId="7" fillId="0" borderId="3" xfId="0" applyFont="1" applyBorder="1" applyAlignment="1">
      <alignment horizontal="center" vertical="top"/>
    </xf>
    <xf numFmtId="0" fontId="15" fillId="0" borderId="46" xfId="0" applyFont="1" applyBorder="1" applyAlignment="1">
      <alignment horizontal="left" vertical="top" wrapText="1"/>
    </xf>
    <xf numFmtId="0" fontId="8" fillId="0" borderId="46" xfId="0" applyFont="1" applyFill="1" applyBorder="1" applyAlignment="1">
      <alignment horizontal="right" vertical="top"/>
    </xf>
    <xf numFmtId="0" fontId="7" fillId="0" borderId="48" xfId="0" applyFont="1" applyBorder="1" applyAlignment="1">
      <alignment horizontal="center" vertical="top"/>
    </xf>
    <xf numFmtId="0" fontId="8" fillId="0" borderId="48" xfId="0" applyFont="1" applyBorder="1" applyAlignment="1">
      <alignment horizontal="center" vertical="top"/>
    </xf>
    <xf numFmtId="173" fontId="8" fillId="0" borderId="46" xfId="1" applyNumberFormat="1" applyFont="1" applyFill="1" applyBorder="1" applyAlignment="1">
      <alignment horizontal="right" vertical="top"/>
    </xf>
    <xf numFmtId="164" fontId="8" fillId="0" borderId="46" xfId="0" applyNumberFormat="1" applyFont="1" applyBorder="1" applyAlignment="1">
      <alignment vertical="top"/>
    </xf>
    <xf numFmtId="41" fontId="8" fillId="0" borderId="46" xfId="0" applyNumberFormat="1" applyFont="1" applyFill="1" applyBorder="1" applyAlignment="1">
      <alignment horizontal="right" vertical="top"/>
    </xf>
    <xf numFmtId="173" fontId="8" fillId="0" borderId="46" xfId="0" applyNumberFormat="1" applyFont="1" applyFill="1" applyBorder="1" applyAlignment="1">
      <alignment horizontal="right" vertical="top"/>
    </xf>
    <xf numFmtId="173" fontId="8" fillId="0" borderId="46" xfId="0" applyNumberFormat="1" applyFont="1" applyBorder="1" applyAlignment="1">
      <alignment vertical="top" wrapText="1"/>
    </xf>
    <xf numFmtId="0" fontId="8" fillId="0" borderId="87" xfId="0" applyFont="1" applyBorder="1" applyAlignment="1">
      <alignment horizontal="center" vertical="top"/>
    </xf>
    <xf numFmtId="0" fontId="8" fillId="0" borderId="85" xfId="0" applyFont="1" applyBorder="1" applyAlignment="1">
      <alignment vertical="top" wrapText="1"/>
    </xf>
    <xf numFmtId="0" fontId="15" fillId="0" borderId="85" xfId="0" applyFont="1" applyBorder="1" applyAlignment="1">
      <alignment vertical="top" wrapText="1"/>
    </xf>
    <xf numFmtId="41" fontId="8" fillId="0" borderId="85" xfId="0" applyNumberFormat="1" applyFont="1" applyBorder="1" applyAlignment="1">
      <alignment vertical="top" wrapText="1"/>
    </xf>
    <xf numFmtId="164" fontId="8" fillId="0" borderId="85" xfId="0" applyNumberFormat="1" applyFont="1" applyBorder="1" applyAlignment="1">
      <alignment vertical="top" wrapText="1"/>
    </xf>
    <xf numFmtId="0" fontId="8" fillId="0" borderId="48" xfId="0" applyFont="1" applyBorder="1" applyAlignment="1">
      <alignment horizontal="center" vertical="top" wrapText="1"/>
    </xf>
    <xf numFmtId="0" fontId="8" fillId="0" borderId="3" xfId="0" applyFont="1" applyBorder="1" applyAlignment="1">
      <alignment vertical="top" wrapText="1"/>
    </xf>
    <xf numFmtId="41" fontId="7" fillId="0" borderId="46" xfId="0" applyNumberFormat="1" applyFont="1" applyBorder="1" applyAlignment="1">
      <alignment vertical="top" wrapText="1"/>
    </xf>
    <xf numFmtId="0" fontId="23" fillId="0" borderId="85" xfId="0" applyFont="1" applyBorder="1" applyAlignment="1">
      <alignment vertical="top" wrapText="1"/>
    </xf>
    <xf numFmtId="166" fontId="8" fillId="0" borderId="85" xfId="0" applyNumberFormat="1" applyFont="1" applyBorder="1" applyAlignment="1">
      <alignment vertical="top" wrapText="1"/>
    </xf>
    <xf numFmtId="9" fontId="8" fillId="0" borderId="48" xfId="0" applyNumberFormat="1" applyFont="1" applyBorder="1" applyAlignment="1">
      <alignment horizontal="center" vertical="top" wrapText="1"/>
    </xf>
    <xf numFmtId="0" fontId="8" fillId="0" borderId="47" xfId="0" applyFont="1" applyBorder="1" applyAlignment="1">
      <alignment vertical="top" wrapText="1"/>
    </xf>
    <xf numFmtId="0" fontId="23" fillId="0" borderId="47" xfId="0" applyFont="1" applyBorder="1" applyAlignment="1">
      <alignment vertical="top" wrapText="1"/>
    </xf>
    <xf numFmtId="41" fontId="8" fillId="0" borderId="47" xfId="0" applyNumberFormat="1" applyFont="1" applyBorder="1" applyAlignment="1">
      <alignment vertical="top" wrapText="1"/>
    </xf>
    <xf numFmtId="164" fontId="8" fillId="0" borderId="47" xfId="0" applyNumberFormat="1" applyFont="1" applyBorder="1" applyAlignment="1">
      <alignment vertical="top" wrapText="1"/>
    </xf>
    <xf numFmtId="166" fontId="8" fillId="0" borderId="47" xfId="0" applyNumberFormat="1" applyFont="1" applyBorder="1" applyAlignment="1">
      <alignment vertical="top" wrapText="1"/>
    </xf>
    <xf numFmtId="164" fontId="7" fillId="0" borderId="47" xfId="0" applyNumberFormat="1" applyFont="1" applyBorder="1" applyAlignment="1">
      <alignment vertical="top" wrapText="1"/>
    </xf>
    <xf numFmtId="0" fontId="15" fillId="0" borderId="47" xfId="0" applyFont="1" applyBorder="1" applyAlignment="1">
      <alignment vertical="top" wrapText="1"/>
    </xf>
    <xf numFmtId="0" fontId="8" fillId="0" borderId="88" xfId="0" applyFont="1" applyBorder="1" applyAlignment="1">
      <alignment vertical="top" wrapText="1"/>
    </xf>
    <xf numFmtId="0" fontId="15" fillId="0" borderId="88" xfId="0" applyFont="1" applyBorder="1" applyAlignment="1">
      <alignment vertical="top" wrapText="1"/>
    </xf>
    <xf numFmtId="41" fontId="8" fillId="0" borderId="88" xfId="0" applyNumberFormat="1" applyFont="1" applyBorder="1" applyAlignment="1">
      <alignment vertical="top" wrapText="1"/>
    </xf>
    <xf numFmtId="164" fontId="8" fillId="0" borderId="88" xfId="0" applyNumberFormat="1" applyFont="1" applyBorder="1" applyAlignment="1">
      <alignment vertical="top" wrapText="1"/>
    </xf>
    <xf numFmtId="164" fontId="7" fillId="0" borderId="88" xfId="0" applyNumberFormat="1" applyFont="1" applyBorder="1" applyAlignment="1">
      <alignment vertical="top" wrapText="1"/>
    </xf>
    <xf numFmtId="0" fontId="15" fillId="0" borderId="3" xfId="0" applyFont="1" applyBorder="1" applyAlignment="1">
      <alignment vertical="top" wrapText="1"/>
    </xf>
    <xf numFmtId="41" fontId="8" fillId="0" borderId="3" xfId="0" applyNumberFormat="1" applyFont="1" applyBorder="1" applyAlignment="1">
      <alignment vertical="top" wrapText="1"/>
    </xf>
    <xf numFmtId="164" fontId="8" fillId="0" borderId="3" xfId="0" applyNumberFormat="1" applyFont="1" applyBorder="1" applyAlignment="1">
      <alignment vertical="top" wrapText="1"/>
    </xf>
    <xf numFmtId="164" fontId="7" fillId="0" borderId="3" xfId="0" applyNumberFormat="1" applyFont="1" applyBorder="1" applyAlignment="1">
      <alignment vertical="top" wrapText="1"/>
    </xf>
    <xf numFmtId="164" fontId="7" fillId="0" borderId="85" xfId="0" applyNumberFormat="1" applyFont="1" applyBorder="1" applyAlignment="1">
      <alignment vertical="top" wrapText="1"/>
    </xf>
    <xf numFmtId="43" fontId="8" fillId="0" borderId="47" xfId="0" applyNumberFormat="1" applyFont="1" applyBorder="1" applyAlignment="1">
      <alignment vertical="top" wrapText="1"/>
    </xf>
    <xf numFmtId="43" fontId="7" fillId="0" borderId="47" xfId="0" applyNumberFormat="1" applyFont="1" applyBorder="1" applyAlignment="1">
      <alignment vertical="top" wrapText="1"/>
    </xf>
    <xf numFmtId="0" fontId="8" fillId="0" borderId="87" xfId="0" applyFont="1" applyBorder="1" applyAlignment="1">
      <alignment horizontal="center" vertical="center"/>
    </xf>
    <xf numFmtId="0" fontId="8" fillId="0" borderId="3" xfId="0" applyFont="1" applyBorder="1" applyAlignment="1">
      <alignment vertical="center"/>
    </xf>
    <xf numFmtId="0" fontId="8" fillId="0" borderId="1" xfId="0" applyFont="1" applyBorder="1" applyAlignment="1">
      <alignment vertical="center"/>
    </xf>
    <xf numFmtId="166" fontId="8" fillId="0" borderId="1" xfId="1" applyNumberFormat="1" applyFont="1" applyBorder="1" applyAlignment="1">
      <alignment vertical="center"/>
    </xf>
    <xf numFmtId="41" fontId="8" fillId="0" borderId="1" xfId="0" applyNumberFormat="1" applyFont="1" applyBorder="1" applyAlignment="1">
      <alignment vertical="center"/>
    </xf>
    <xf numFmtId="164" fontId="8" fillId="0" borderId="1" xfId="0" applyNumberFormat="1" applyFont="1" applyBorder="1" applyAlignment="1">
      <alignment vertical="center"/>
    </xf>
    <xf numFmtId="2" fontId="8" fillId="0" borderId="1" xfId="0" applyNumberFormat="1" applyFont="1" applyBorder="1" applyAlignment="1">
      <alignment vertical="center"/>
    </xf>
    <xf numFmtId="0" fontId="8" fillId="0" borderId="1" xfId="0" applyFont="1" applyBorder="1" applyAlignment="1">
      <alignment horizontal="center" vertical="center"/>
    </xf>
    <xf numFmtId="0" fontId="8" fillId="0" borderId="4" xfId="0" applyFont="1" applyBorder="1" applyAlignment="1">
      <alignment vertical="center"/>
    </xf>
    <xf numFmtId="41" fontId="25" fillId="14" borderId="1" xfId="0" applyNumberFormat="1" applyFont="1" applyFill="1" applyBorder="1" applyAlignment="1">
      <alignment vertical="top" wrapText="1"/>
    </xf>
    <xf numFmtId="41" fontId="7" fillId="0" borderId="1" xfId="0" applyNumberFormat="1" applyFont="1" applyBorder="1" applyAlignment="1">
      <alignment horizontal="left" vertical="top" wrapText="1"/>
    </xf>
    <xf numFmtId="41" fontId="7" fillId="0" borderId="2" xfId="0" applyNumberFormat="1" applyFont="1" applyBorder="1" applyAlignment="1">
      <alignment vertical="top" wrapText="1"/>
    </xf>
    <xf numFmtId="0" fontId="7" fillId="0" borderId="1" xfId="0" quotePrefix="1" applyNumberFormat="1" applyFont="1" applyBorder="1" applyAlignment="1">
      <alignment horizontal="left" vertical="top" wrapText="1"/>
    </xf>
    <xf numFmtId="0" fontId="7" fillId="0" borderId="1" xfId="0" applyNumberFormat="1" applyFont="1" applyBorder="1" applyAlignment="1">
      <alignment horizontal="left" vertical="top" wrapText="1"/>
    </xf>
    <xf numFmtId="41" fontId="7" fillId="0" borderId="1" xfId="0" applyNumberFormat="1" applyFont="1" applyFill="1" applyBorder="1" applyAlignment="1">
      <alignment horizontal="left" vertical="top" wrapText="1"/>
    </xf>
    <xf numFmtId="41" fontId="7" fillId="0" borderId="1" xfId="1" applyNumberFormat="1" applyFont="1" applyBorder="1" applyAlignment="1">
      <alignment horizontal="left" vertical="top" wrapText="1"/>
    </xf>
    <xf numFmtId="166" fontId="7" fillId="0" borderId="1" xfId="0" applyNumberFormat="1" applyFont="1" applyBorder="1" applyAlignment="1">
      <alignment horizontal="left" vertical="top" wrapText="1"/>
    </xf>
    <xf numFmtId="0" fontId="0" fillId="0" borderId="0" xfId="0" applyFont="1"/>
    <xf numFmtId="0" fontId="8" fillId="0" borderId="1" xfId="1" quotePrefix="1" applyNumberFormat="1" applyFont="1" applyBorder="1" applyAlignment="1">
      <alignment horizontal="left" vertical="top" wrapText="1"/>
    </xf>
    <xf numFmtId="0" fontId="8" fillId="0" borderId="1" xfId="1" applyNumberFormat="1" applyFont="1" applyBorder="1" applyAlignment="1">
      <alignment horizontal="left" vertical="top" wrapText="1"/>
    </xf>
    <xf numFmtId="41" fontId="8" fillId="0" borderId="1" xfId="0" applyNumberFormat="1" applyFont="1" applyBorder="1" applyAlignment="1">
      <alignment horizontal="left" vertical="top" wrapText="1"/>
    </xf>
    <xf numFmtId="166" fontId="8" fillId="0" borderId="1" xfId="0" applyNumberFormat="1" applyFont="1" applyBorder="1" applyAlignment="1">
      <alignment horizontal="left" vertical="top" wrapText="1"/>
    </xf>
    <xf numFmtId="41" fontId="8" fillId="0" borderId="1" xfId="0" applyNumberFormat="1" applyFont="1" applyFill="1" applyBorder="1" applyAlignment="1">
      <alignment horizontal="left" vertical="top" wrapText="1"/>
    </xf>
    <xf numFmtId="0" fontId="7" fillId="0" borderId="1" xfId="1" quotePrefix="1" applyNumberFormat="1" applyFont="1" applyBorder="1" applyAlignment="1">
      <alignment horizontal="left" vertical="top" wrapText="1"/>
    </xf>
    <xf numFmtId="0" fontId="7" fillId="0" borderId="1" xfId="1" applyNumberFormat="1" applyFont="1" applyBorder="1" applyAlignment="1">
      <alignment horizontal="left" vertical="top" wrapText="1"/>
    </xf>
    <xf numFmtId="41" fontId="7" fillId="0" borderId="1" xfId="1" applyNumberFormat="1" applyFont="1" applyFill="1" applyBorder="1" applyAlignment="1">
      <alignment horizontal="left" vertical="top" wrapText="1"/>
    </xf>
    <xf numFmtId="41" fontId="7" fillId="0" borderId="1" xfId="1" applyNumberFormat="1" applyFont="1" applyFill="1" applyBorder="1" applyAlignment="1">
      <alignment horizontal="left" vertical="top"/>
    </xf>
    <xf numFmtId="41" fontId="8" fillId="0" borderId="1" xfId="3" applyNumberFormat="1" applyFont="1" applyBorder="1" applyAlignment="1">
      <alignment horizontal="left" vertical="top" wrapText="1"/>
    </xf>
    <xf numFmtId="41" fontId="21" fillId="0" borderId="1" xfId="0" applyNumberFormat="1" applyFont="1" applyBorder="1" applyAlignment="1">
      <alignment horizontal="left" vertical="top" wrapText="1"/>
    </xf>
    <xf numFmtId="41" fontId="7" fillId="0" borderId="1" xfId="3" applyNumberFormat="1" applyFont="1" applyFill="1" applyBorder="1" applyAlignment="1">
      <alignment horizontal="left" vertical="top"/>
    </xf>
    <xf numFmtId="0" fontId="8" fillId="0" borderId="1" xfId="0" applyNumberFormat="1" applyFont="1" applyBorder="1" applyAlignment="1">
      <alignment horizontal="left" vertical="top" wrapText="1"/>
    </xf>
    <xf numFmtId="41" fontId="8" fillId="0" borderId="1" xfId="3" applyNumberFormat="1" applyFont="1" applyFill="1" applyBorder="1" applyAlignment="1">
      <alignment horizontal="left" vertical="top"/>
    </xf>
    <xf numFmtId="0" fontId="32" fillId="0" borderId="0" xfId="0" applyFont="1"/>
    <xf numFmtId="41" fontId="8" fillId="0" borderId="1" xfId="1" applyNumberFormat="1" applyFont="1" applyFill="1" applyBorder="1" applyAlignment="1">
      <alignment horizontal="left" vertical="top" wrapText="1"/>
    </xf>
    <xf numFmtId="41" fontId="7" fillId="0" borderId="1" xfId="0" applyNumberFormat="1" applyFont="1" applyFill="1" applyBorder="1" applyAlignment="1">
      <alignment horizontal="left" vertical="top" textRotation="255" wrapText="1"/>
    </xf>
    <xf numFmtId="168" fontId="7" fillId="0" borderId="1" xfId="0" applyNumberFormat="1" applyFont="1" applyBorder="1" applyAlignment="1">
      <alignment vertical="top"/>
    </xf>
    <xf numFmtId="2" fontId="7" fillId="0" borderId="1" xfId="0" applyNumberFormat="1" applyFont="1" applyBorder="1" applyAlignment="1">
      <alignment vertical="top"/>
    </xf>
    <xf numFmtId="0" fontId="8" fillId="3" borderId="1" xfId="0" applyFont="1" applyFill="1" applyBorder="1" applyAlignment="1">
      <alignment vertical="top"/>
    </xf>
    <xf numFmtId="0" fontId="2" fillId="4" borderId="1" xfId="0" applyFont="1" applyFill="1" applyBorder="1"/>
    <xf numFmtId="0" fontId="8" fillId="9" borderId="1" xfId="0" applyFont="1" applyFill="1" applyBorder="1" applyAlignment="1">
      <alignment horizontal="center" vertical="top"/>
    </xf>
    <xf numFmtId="0" fontId="7" fillId="0" borderId="1" xfId="0" applyFont="1" applyBorder="1" applyAlignment="1">
      <alignment horizontal="center" vertical="top"/>
    </xf>
    <xf numFmtId="41" fontId="9" fillId="4" borderId="1" xfId="0" applyNumberFormat="1" applyFont="1" applyFill="1" applyBorder="1"/>
    <xf numFmtId="0" fontId="8" fillId="4" borderId="1" xfId="0" applyFont="1" applyFill="1" applyBorder="1"/>
    <xf numFmtId="41" fontId="7" fillId="0" borderId="1" xfId="0" applyNumberFormat="1" applyFont="1" applyBorder="1" applyAlignment="1">
      <alignment vertical="top" wrapText="1"/>
    </xf>
    <xf numFmtId="0" fontId="7" fillId="0" borderId="89" xfId="0" quotePrefix="1" applyFont="1" applyFill="1" applyBorder="1" applyAlignment="1">
      <alignment vertical="top" wrapText="1"/>
    </xf>
    <xf numFmtId="0" fontId="23" fillId="0" borderId="89" xfId="0" applyFont="1" applyFill="1" applyBorder="1" applyAlignment="1">
      <alignment horizontal="left" vertical="top" wrapText="1"/>
    </xf>
    <xf numFmtId="0" fontId="7" fillId="0" borderId="89" xfId="0" applyFont="1" applyFill="1" applyBorder="1" applyAlignment="1">
      <alignment vertical="top" wrapText="1"/>
    </xf>
    <xf numFmtId="0" fontId="23" fillId="0" borderId="90" xfId="0" applyFont="1" applyFill="1" applyBorder="1" applyAlignment="1">
      <alignment vertical="top" wrapText="1"/>
    </xf>
    <xf numFmtId="0" fontId="7" fillId="0" borderId="89" xfId="3" applyNumberFormat="1" applyFont="1" applyFill="1" applyBorder="1" applyAlignment="1">
      <alignment horizontal="right" vertical="center"/>
    </xf>
    <xf numFmtId="164" fontId="7" fillId="0" borderId="89" xfId="1" applyNumberFormat="1" applyFont="1" applyFill="1" applyBorder="1" applyAlignment="1">
      <alignment horizontal="center" vertical="center"/>
    </xf>
    <xf numFmtId="0" fontId="7" fillId="0" borderId="89" xfId="0" applyNumberFormat="1" applyFont="1" applyFill="1" applyBorder="1" applyAlignment="1">
      <alignment vertical="center" wrapText="1"/>
    </xf>
    <xf numFmtId="3" fontId="7" fillId="0" borderId="89" xfId="1" applyNumberFormat="1" applyFont="1" applyFill="1" applyBorder="1" applyAlignment="1">
      <alignment vertical="center" wrapText="1"/>
    </xf>
    <xf numFmtId="0" fontId="7" fillId="0" borderId="89" xfId="0" applyNumberFormat="1" applyFont="1" applyFill="1" applyBorder="1" applyAlignment="1">
      <alignment horizontal="center" vertical="center"/>
    </xf>
    <xf numFmtId="3" fontId="7" fillId="0" borderId="89" xfId="1" applyNumberFormat="1" applyFont="1" applyFill="1" applyBorder="1" applyAlignment="1">
      <alignment horizontal="center" vertical="center"/>
    </xf>
    <xf numFmtId="3" fontId="7" fillId="0" borderId="89" xfId="0" applyNumberFormat="1" applyFont="1" applyFill="1" applyBorder="1" applyAlignment="1">
      <alignment vertical="top" wrapText="1"/>
    </xf>
    <xf numFmtId="0" fontId="7" fillId="0" borderId="89" xfId="3" applyNumberFormat="1" applyFont="1" applyFill="1" applyBorder="1" applyAlignment="1">
      <alignment horizontal="center" vertical="center" wrapText="1"/>
    </xf>
    <xf numFmtId="164" fontId="7" fillId="0" borderId="89" xfId="0" applyNumberFormat="1" applyFont="1" applyFill="1" applyBorder="1" applyAlignment="1">
      <alignment vertical="center" wrapText="1"/>
    </xf>
    <xf numFmtId="0" fontId="33" fillId="0" borderId="0" xfId="0" applyFont="1" applyFill="1" applyBorder="1" applyAlignment="1">
      <alignment vertical="top"/>
    </xf>
    <xf numFmtId="0" fontId="33" fillId="0" borderId="0" xfId="0" applyFont="1" applyFill="1" applyAlignment="1">
      <alignment vertical="top"/>
    </xf>
    <xf numFmtId="0" fontId="8" fillId="0" borderId="89" xfId="0" applyFont="1" applyFill="1" applyBorder="1" applyAlignment="1">
      <alignment vertical="top" wrapText="1"/>
    </xf>
    <xf numFmtId="0" fontId="23" fillId="0" borderId="89" xfId="0" applyFont="1" applyFill="1" applyBorder="1" applyAlignment="1">
      <alignment vertical="top" wrapText="1"/>
    </xf>
    <xf numFmtId="0" fontId="8" fillId="0" borderId="89" xfId="0" quotePrefix="1" applyFont="1" applyFill="1" applyBorder="1" applyAlignment="1">
      <alignment vertical="top" wrapText="1"/>
    </xf>
    <xf numFmtId="0" fontId="31" fillId="0" borderId="0" xfId="0" applyFont="1" applyFill="1" applyBorder="1" applyAlignment="1">
      <alignment vertical="top"/>
    </xf>
    <xf numFmtId="0" fontId="31" fillId="0" borderId="0" xfId="0" applyFont="1" applyFill="1" applyAlignment="1">
      <alignment vertical="top"/>
    </xf>
    <xf numFmtId="0" fontId="8" fillId="0" borderId="89" xfId="0" applyFont="1" applyFill="1" applyBorder="1" applyAlignment="1">
      <alignment vertical="center" wrapText="1"/>
    </xf>
    <xf numFmtId="0" fontId="8" fillId="0" borderId="89" xfId="0" quotePrefix="1" applyFont="1" applyFill="1" applyBorder="1" applyAlignment="1">
      <alignment vertical="center" wrapText="1"/>
    </xf>
    <xf numFmtId="0" fontId="15" fillId="0" borderId="89" xfId="0" applyFont="1" applyFill="1" applyBorder="1" applyAlignment="1">
      <alignment vertical="top" wrapText="1"/>
    </xf>
    <xf numFmtId="0" fontId="34" fillId="0" borderId="91" xfId="0" applyFont="1" applyFill="1" applyBorder="1" applyAlignment="1">
      <alignment vertical="center" wrapText="1"/>
    </xf>
    <xf numFmtId="0" fontId="34" fillId="0" borderId="92" xfId="0" applyFont="1" applyFill="1" applyBorder="1" applyAlignment="1">
      <alignment vertical="center" wrapText="1"/>
    </xf>
    <xf numFmtId="0" fontId="21" fillId="0" borderId="89" xfId="0" applyFont="1" applyFill="1" applyBorder="1" applyAlignment="1">
      <alignment vertical="top" wrapText="1"/>
    </xf>
    <xf numFmtId="3" fontId="8" fillId="0" borderId="89" xfId="2" applyNumberFormat="1" applyFont="1" applyFill="1" applyBorder="1" applyAlignment="1">
      <alignment vertical="center" wrapText="1"/>
    </xf>
    <xf numFmtId="46" fontId="8" fillId="0" borderId="89" xfId="0" applyNumberFormat="1" applyFont="1" applyFill="1" applyBorder="1" applyAlignment="1">
      <alignment vertical="center" wrapText="1"/>
    </xf>
    <xf numFmtId="3" fontId="8" fillId="0" borderId="89" xfId="0" applyNumberFormat="1" applyFont="1" applyFill="1" applyBorder="1" applyAlignment="1">
      <alignment vertical="center" wrapText="1"/>
    </xf>
    <xf numFmtId="10" fontId="8" fillId="0" borderId="89" xfId="0" applyNumberFormat="1" applyFont="1" applyFill="1" applyBorder="1" applyAlignment="1">
      <alignment vertical="center" wrapText="1"/>
    </xf>
    <xf numFmtId="3" fontId="8" fillId="0" borderId="89" xfId="1" applyNumberFormat="1" applyFont="1" applyFill="1" applyBorder="1" applyAlignment="1">
      <alignment vertical="center" wrapText="1"/>
    </xf>
    <xf numFmtId="3" fontId="7" fillId="0" borderId="89" xfId="4" applyNumberFormat="1" applyFont="1" applyFill="1" applyBorder="1" applyAlignment="1">
      <alignment horizontal="center" vertical="center" wrapText="1"/>
    </xf>
    <xf numFmtId="3" fontId="7" fillId="9" borderId="89" xfId="1" applyNumberFormat="1" applyFont="1" applyFill="1" applyBorder="1" applyAlignment="1">
      <alignment vertical="center" wrapText="1"/>
    </xf>
    <xf numFmtId="0" fontId="33" fillId="0" borderId="0" xfId="0" applyFont="1" applyFill="1" applyBorder="1"/>
    <xf numFmtId="0" fontId="31" fillId="0" borderId="0" xfId="0" applyFont="1" applyFill="1" applyBorder="1"/>
    <xf numFmtId="0" fontId="31" fillId="0" borderId="0" xfId="0" applyFont="1" applyFill="1"/>
    <xf numFmtId="0" fontId="33" fillId="0" borderId="0" xfId="0" applyFont="1" applyFill="1"/>
    <xf numFmtId="0" fontId="8" fillId="0" borderId="89" xfId="0" applyNumberFormat="1" applyFont="1" applyFill="1" applyBorder="1" applyAlignment="1">
      <alignment vertical="center" wrapText="1"/>
    </xf>
    <xf numFmtId="3" fontId="8" fillId="9" borderId="89" xfId="1" applyNumberFormat="1" applyFont="1" applyFill="1" applyBorder="1" applyAlignment="1">
      <alignment vertical="center" wrapText="1"/>
    </xf>
    <xf numFmtId="0" fontId="8" fillId="0" borderId="89" xfId="1" applyNumberFormat="1" applyFont="1" applyFill="1" applyBorder="1" applyAlignment="1">
      <alignment vertical="center" wrapText="1"/>
    </xf>
    <xf numFmtId="0" fontId="8" fillId="0" borderId="89" xfId="0" applyNumberFormat="1" applyFont="1" applyFill="1" applyBorder="1" applyAlignment="1">
      <alignment horizontal="center" wrapText="1"/>
    </xf>
    <xf numFmtId="3" fontId="8" fillId="0" borderId="89" xfId="1" applyNumberFormat="1" applyFont="1" applyFill="1" applyBorder="1" applyAlignment="1">
      <alignment horizontal="center" wrapText="1"/>
    </xf>
    <xf numFmtId="0" fontId="17" fillId="0" borderId="89" xfId="0" applyFont="1" applyFill="1" applyBorder="1" applyAlignment="1">
      <alignment horizontal="left" vertical="top" wrapText="1"/>
    </xf>
    <xf numFmtId="3" fontId="7" fillId="9" borderId="89" xfId="1" applyNumberFormat="1" applyFont="1" applyFill="1" applyBorder="1" applyAlignment="1">
      <alignment horizontal="center" vertical="center" wrapText="1"/>
    </xf>
    <xf numFmtId="1" fontId="7" fillId="0" borderId="89" xfId="0" applyNumberFormat="1" applyFont="1" applyFill="1" applyBorder="1" applyAlignment="1">
      <alignment horizontal="center" vertical="center" wrapText="1"/>
    </xf>
    <xf numFmtId="9" fontId="8" fillId="0" borderId="89" xfId="0" applyNumberFormat="1" applyFont="1" applyFill="1" applyBorder="1" applyAlignment="1">
      <alignment vertical="center" wrapText="1"/>
    </xf>
    <xf numFmtId="0" fontId="17" fillId="0" borderId="89" xfId="0" applyFont="1" applyFill="1" applyBorder="1" applyAlignment="1">
      <alignment horizontal="left" vertical="center" wrapText="1"/>
    </xf>
    <xf numFmtId="0" fontId="17" fillId="0" borderId="89" xfId="0" applyNumberFormat="1" applyFont="1" applyFill="1" applyBorder="1" applyAlignment="1">
      <alignment horizontal="center" vertical="center" wrapText="1"/>
    </xf>
    <xf numFmtId="166" fontId="17" fillId="0" borderId="89" xfId="1" applyNumberFormat="1" applyFont="1" applyFill="1" applyBorder="1" applyAlignment="1">
      <alignment vertical="center"/>
    </xf>
    <xf numFmtId="41" fontId="17" fillId="0" borderId="89" xfId="0" applyNumberFormat="1" applyFont="1" applyFill="1" applyBorder="1" applyAlignment="1">
      <alignment horizontal="center" vertical="center"/>
    </xf>
    <xf numFmtId="169" fontId="17" fillId="0" borderId="89" xfId="0" applyNumberFormat="1" applyFont="1" applyFill="1" applyBorder="1" applyAlignment="1">
      <alignment horizontal="center" vertical="center"/>
    </xf>
    <xf numFmtId="166" fontId="17" fillId="9" borderId="89" xfId="2" applyNumberFormat="1" applyFont="1" applyFill="1" applyBorder="1" applyAlignment="1">
      <alignment horizontal="center" vertical="center"/>
    </xf>
    <xf numFmtId="9" fontId="7" fillId="0" borderId="89" xfId="3" applyNumberFormat="1" applyFont="1" applyFill="1" applyBorder="1" applyAlignment="1">
      <alignment horizontal="center" vertical="center" wrapText="1"/>
    </xf>
    <xf numFmtId="0" fontId="15" fillId="0" borderId="89" xfId="0" applyFont="1" applyFill="1" applyBorder="1" applyAlignment="1">
      <alignment horizontal="left" vertical="top" wrapText="1" indent="4"/>
    </xf>
    <xf numFmtId="9" fontId="7" fillId="0" borderId="89" xfId="0" applyNumberFormat="1" applyFont="1" applyFill="1" applyBorder="1" applyAlignment="1">
      <alignment vertical="center" wrapText="1"/>
    </xf>
    <xf numFmtId="0" fontId="17" fillId="0" borderId="89" xfId="0" applyFont="1" applyFill="1" applyBorder="1" applyAlignment="1">
      <alignment horizontal="center" vertical="center"/>
    </xf>
    <xf numFmtId="43" fontId="7" fillId="0" borderId="89" xfId="1" applyNumberFormat="1" applyFont="1" applyFill="1" applyBorder="1" applyAlignment="1">
      <alignment horizontal="center" vertical="center"/>
    </xf>
    <xf numFmtId="41" fontId="17" fillId="0" borderId="89" xfId="0" applyNumberFormat="1" applyFont="1" applyFill="1" applyBorder="1" applyAlignment="1">
      <alignment vertical="center"/>
    </xf>
    <xf numFmtId="169" fontId="17" fillId="0" borderId="89" xfId="0" applyNumberFormat="1" applyFont="1" applyFill="1" applyBorder="1" applyAlignment="1">
      <alignment vertical="center"/>
    </xf>
    <xf numFmtId="0" fontId="21" fillId="9" borderId="89" xfId="0" applyNumberFormat="1" applyFont="1" applyFill="1" applyBorder="1" applyAlignment="1">
      <alignment horizontal="right" vertical="center" wrapText="1"/>
    </xf>
    <xf numFmtId="164" fontId="7" fillId="0" borderId="89" xfId="2" applyNumberFormat="1" applyFont="1" applyFill="1" applyBorder="1" applyAlignment="1">
      <alignment horizontal="right" vertical="center" wrapText="1"/>
    </xf>
    <xf numFmtId="164" fontId="7" fillId="0" borderId="89" xfId="3" applyNumberFormat="1" applyFont="1" applyFill="1" applyBorder="1" applyAlignment="1">
      <alignment vertical="center" wrapText="1"/>
    </xf>
    <xf numFmtId="41" fontId="7" fillId="0" borderId="89" xfId="0" applyNumberFormat="1" applyFont="1" applyFill="1" applyBorder="1" applyAlignment="1">
      <alignment vertical="center" wrapText="1"/>
    </xf>
    <xf numFmtId="3" fontId="8" fillId="0" borderId="89" xfId="4" applyNumberFormat="1" applyFont="1" applyFill="1" applyBorder="1" applyAlignment="1">
      <alignment vertical="center" wrapText="1"/>
    </xf>
    <xf numFmtId="0" fontId="15" fillId="0" borderId="89" xfId="0" applyFont="1" applyFill="1" applyBorder="1" applyAlignment="1">
      <alignment vertical="center"/>
    </xf>
    <xf numFmtId="0" fontId="23" fillId="0" borderId="89" xfId="0" applyFont="1" applyFill="1" applyBorder="1" applyAlignment="1">
      <alignment vertical="center" wrapText="1"/>
    </xf>
    <xf numFmtId="43" fontId="7" fillId="0" borderId="89" xfId="1" applyNumberFormat="1" applyFont="1" applyFill="1" applyBorder="1" applyAlignment="1">
      <alignment vertical="center"/>
    </xf>
    <xf numFmtId="166" fontId="17" fillId="9" borderId="89" xfId="2" applyNumberFormat="1" applyFont="1" applyFill="1" applyBorder="1" applyAlignment="1">
      <alignment horizontal="right" vertical="center"/>
    </xf>
    <xf numFmtId="49" fontId="7" fillId="0" borderId="89" xfId="1" applyNumberFormat="1" applyFont="1" applyFill="1" applyBorder="1" applyAlignment="1">
      <alignment vertical="center" wrapText="1"/>
    </xf>
    <xf numFmtId="164" fontId="7" fillId="0" borderId="89" xfId="3" applyNumberFormat="1" applyFont="1" applyFill="1" applyBorder="1" applyAlignment="1">
      <alignment horizontal="center" vertical="center" wrapText="1"/>
    </xf>
    <xf numFmtId="0" fontId="21" fillId="0" borderId="89" xfId="0" applyFont="1" applyFill="1" applyBorder="1" applyAlignment="1">
      <alignment horizontal="left" vertical="top" wrapText="1"/>
    </xf>
    <xf numFmtId="0" fontId="8" fillId="0" borderId="89" xfId="0" applyFont="1" applyFill="1" applyBorder="1" applyAlignment="1">
      <alignment wrapText="1"/>
    </xf>
    <xf numFmtId="0" fontId="7" fillId="0" borderId="89" xfId="1" applyNumberFormat="1" applyFont="1" applyFill="1" applyBorder="1" applyAlignment="1">
      <alignment horizontal="right" vertical="center"/>
    </xf>
    <xf numFmtId="0" fontId="8" fillId="0" borderId="89" xfId="0" applyFont="1" applyFill="1" applyBorder="1"/>
    <xf numFmtId="0" fontId="15" fillId="0" borderId="93" xfId="0" applyFont="1" applyFill="1" applyBorder="1" applyAlignment="1">
      <alignment vertical="top" wrapText="1"/>
    </xf>
    <xf numFmtId="9" fontId="7" fillId="0" borderId="1" xfId="3" applyFont="1" applyFill="1" applyBorder="1" applyAlignment="1">
      <alignment horizontal="right" vertical="top"/>
    </xf>
    <xf numFmtId="43" fontId="7" fillId="0" borderId="1" xfId="1" applyNumberFormat="1" applyFont="1" applyFill="1" applyBorder="1" applyAlignment="1">
      <alignment horizontal="right" vertical="top"/>
    </xf>
    <xf numFmtId="9" fontId="7" fillId="0" borderId="1" xfId="0" applyNumberFormat="1" applyFont="1" applyFill="1" applyBorder="1" applyAlignment="1">
      <alignment horizontal="right" vertical="top"/>
    </xf>
    <xf numFmtId="10" fontId="7" fillId="0" borderId="1" xfId="0" applyNumberFormat="1" applyFont="1" applyFill="1" applyBorder="1" applyAlignment="1">
      <alignment vertical="top" wrapText="1"/>
    </xf>
    <xf numFmtId="41" fontId="7" fillId="0" borderId="1" xfId="0" applyNumberFormat="1" applyFont="1" applyFill="1" applyBorder="1" applyAlignment="1">
      <alignment vertical="top" wrapText="1"/>
    </xf>
    <xf numFmtId="10" fontId="8" fillId="0" borderId="1" xfId="0" applyNumberFormat="1" applyFont="1" applyFill="1" applyBorder="1" applyAlignment="1">
      <alignment vertical="top" wrapText="1"/>
    </xf>
    <xf numFmtId="41" fontId="8" fillId="0" borderId="1" xfId="0" applyNumberFormat="1" applyFont="1" applyFill="1" applyBorder="1" applyAlignment="1">
      <alignment vertical="top" wrapText="1"/>
    </xf>
    <xf numFmtId="9" fontId="8" fillId="0" borderId="1" xfId="1" applyNumberFormat="1" applyFont="1" applyFill="1" applyBorder="1" applyAlignment="1">
      <alignment vertical="top" wrapText="1"/>
    </xf>
    <xf numFmtId="0" fontId="7" fillId="0" borderId="1" xfId="0" applyFont="1" applyFill="1" applyBorder="1" applyAlignment="1">
      <alignment horizontal="center" vertical="center" wrapText="1"/>
    </xf>
    <xf numFmtId="0" fontId="8" fillId="0" borderId="1" xfId="0" quotePrefix="1" applyFont="1" applyFill="1" applyBorder="1" applyAlignment="1">
      <alignment horizontal="right" vertical="top" wrapText="1"/>
    </xf>
    <xf numFmtId="0" fontId="15" fillId="0" borderId="1" xfId="0" applyFont="1" applyFill="1" applyBorder="1" applyAlignment="1">
      <alignment vertical="top" wrapText="1"/>
    </xf>
    <xf numFmtId="9" fontId="8" fillId="0" borderId="1" xfId="0" applyNumberFormat="1" applyFont="1" applyFill="1" applyBorder="1" applyAlignment="1">
      <alignment horizontal="right" vertical="top" wrapText="1"/>
    </xf>
    <xf numFmtId="164" fontId="8" fillId="0" borderId="1" xfId="2" applyNumberFormat="1" applyFont="1" applyFill="1" applyBorder="1" applyAlignment="1">
      <alignment vertical="top" wrapText="1"/>
    </xf>
    <xf numFmtId="41" fontId="21" fillId="0" borderId="1" xfId="0" applyNumberFormat="1" applyFont="1" applyFill="1" applyBorder="1" applyAlignment="1">
      <alignment vertical="top" wrapText="1"/>
    </xf>
    <xf numFmtId="10" fontId="8" fillId="0" borderId="1" xfId="1" applyNumberFormat="1" applyFont="1" applyFill="1" applyBorder="1" applyAlignment="1">
      <alignment vertical="top" wrapText="1"/>
    </xf>
    <xf numFmtId="41" fontId="35" fillId="0" borderId="1" xfId="0" applyNumberFormat="1" applyFont="1" applyFill="1" applyBorder="1" applyAlignment="1">
      <alignment vertical="top" wrapText="1"/>
    </xf>
    <xf numFmtId="10" fontId="8" fillId="0" borderId="1" xfId="0" applyNumberFormat="1" applyFont="1" applyFill="1" applyBorder="1" applyAlignment="1">
      <alignment horizontal="right" vertical="center" wrapText="1"/>
    </xf>
    <xf numFmtId="43" fontId="8" fillId="0" borderId="1" xfId="2" applyFont="1" applyFill="1" applyBorder="1" applyAlignment="1">
      <alignment vertical="top" wrapText="1"/>
    </xf>
    <xf numFmtId="9" fontId="7" fillId="0" borderId="1" xfId="3" applyNumberFormat="1" applyFont="1" applyFill="1" applyBorder="1" applyAlignment="1">
      <alignment horizontal="right" vertical="center"/>
    </xf>
    <xf numFmtId="9" fontId="7" fillId="0" borderId="1" xfId="0" applyNumberFormat="1" applyFont="1" applyFill="1" applyBorder="1" applyAlignment="1">
      <alignment horizontal="right" vertical="center"/>
    </xf>
    <xf numFmtId="164" fontId="7" fillId="0" borderId="1" xfId="2" applyNumberFormat="1" applyFont="1" applyFill="1" applyBorder="1" applyAlignment="1">
      <alignment vertical="center" wrapText="1"/>
    </xf>
    <xf numFmtId="41" fontId="7" fillId="0" borderId="1" xfId="0" applyNumberFormat="1" applyFont="1" applyFill="1" applyBorder="1" applyAlignment="1">
      <alignment vertical="center" wrapText="1"/>
    </xf>
    <xf numFmtId="10" fontId="7" fillId="0" borderId="1" xfId="0" applyNumberFormat="1" applyFont="1" applyFill="1" applyBorder="1" applyAlignment="1">
      <alignment vertical="center" wrapText="1"/>
    </xf>
    <xf numFmtId="41" fontId="7" fillId="0" borderId="1" xfId="1" applyFont="1" applyFill="1" applyBorder="1" applyAlignment="1">
      <alignment vertical="center" wrapText="1"/>
    </xf>
    <xf numFmtId="10" fontId="8" fillId="0" borderId="1" xfId="0" applyNumberFormat="1" applyFont="1" applyFill="1" applyBorder="1" applyAlignment="1">
      <alignment vertical="center" wrapText="1"/>
    </xf>
    <xf numFmtId="41" fontId="8" fillId="0" borderId="1" xfId="0" applyNumberFormat="1" applyFont="1" applyFill="1" applyBorder="1" applyAlignment="1">
      <alignment vertical="center" wrapText="1"/>
    </xf>
    <xf numFmtId="9" fontId="8" fillId="0" borderId="1" xfId="1" applyNumberFormat="1" applyFont="1" applyFill="1" applyBorder="1" applyAlignment="1">
      <alignment vertical="center" wrapText="1"/>
    </xf>
    <xf numFmtId="1" fontId="8" fillId="0" borderId="1" xfId="0" applyNumberFormat="1" applyFont="1" applyFill="1" applyBorder="1" applyAlignment="1">
      <alignment horizontal="right" vertical="top" wrapText="1"/>
    </xf>
    <xf numFmtId="0" fontId="8" fillId="0" borderId="1" xfId="0" quotePrefix="1" applyFont="1" applyFill="1" applyBorder="1" applyAlignment="1">
      <alignment horizontal="center" vertical="top" wrapText="1"/>
    </xf>
    <xf numFmtId="9" fontId="8" fillId="0" borderId="1" xfId="0" applyNumberFormat="1" applyFont="1" applyFill="1" applyBorder="1" applyAlignment="1">
      <alignment vertical="center" wrapText="1"/>
    </xf>
    <xf numFmtId="0" fontId="8" fillId="0" borderId="1" xfId="0" applyNumberFormat="1" applyFont="1" applyFill="1" applyBorder="1" applyAlignment="1">
      <alignment horizontal="right" vertical="center" wrapText="1"/>
    </xf>
    <xf numFmtId="164" fontId="8" fillId="0" borderId="1" xfId="2" applyNumberFormat="1" applyFont="1" applyFill="1" applyBorder="1" applyAlignment="1">
      <alignment vertical="center" wrapText="1"/>
    </xf>
    <xf numFmtId="0" fontId="21" fillId="0" borderId="1" xfId="1" applyNumberFormat="1" applyFont="1" applyFill="1" applyBorder="1" applyAlignment="1">
      <alignment vertical="center" wrapText="1"/>
    </xf>
    <xf numFmtId="10" fontId="8" fillId="0" borderId="1" xfId="1" applyNumberFormat="1" applyFont="1" applyFill="1" applyBorder="1" applyAlignment="1">
      <alignment vertical="center" wrapText="1"/>
    </xf>
    <xf numFmtId="0" fontId="21" fillId="0" borderId="1" xfId="1" applyNumberFormat="1" applyFont="1" applyFill="1" applyBorder="1" applyAlignment="1">
      <alignment vertical="center"/>
    </xf>
    <xf numFmtId="9" fontId="8" fillId="0" borderId="1" xfId="0" applyNumberFormat="1" applyFont="1" applyFill="1" applyBorder="1" applyAlignment="1">
      <alignment horizontal="right" vertical="center" wrapText="1"/>
    </xf>
    <xf numFmtId="175" fontId="8" fillId="0" borderId="1" xfId="2" applyNumberFormat="1" applyFont="1" applyFill="1" applyBorder="1" applyAlignment="1">
      <alignment vertical="center" wrapText="1"/>
    </xf>
    <xf numFmtId="164" fontId="7" fillId="0" borderId="1" xfId="0" applyNumberFormat="1" applyFont="1" applyFill="1" applyBorder="1" applyAlignment="1">
      <alignment vertical="top" wrapText="1"/>
    </xf>
    <xf numFmtId="43" fontId="7" fillId="0" borderId="1" xfId="0" applyNumberFormat="1" applyFont="1" applyFill="1" applyBorder="1" applyAlignment="1">
      <alignment horizontal="right" vertical="center" wrapText="1"/>
    </xf>
    <xf numFmtId="9" fontId="7" fillId="0" borderId="1" xfId="0" applyNumberFormat="1" applyFont="1" applyFill="1" applyBorder="1" applyAlignment="1">
      <alignment vertical="top" wrapText="1"/>
    </xf>
    <xf numFmtId="43" fontId="7" fillId="0" borderId="1" xfId="2" applyFont="1" applyFill="1" applyBorder="1" applyAlignment="1">
      <alignment vertical="top" wrapText="1"/>
    </xf>
    <xf numFmtId="43" fontId="8" fillId="0" borderId="1" xfId="0" applyNumberFormat="1" applyFont="1" applyFill="1" applyBorder="1" applyAlignment="1">
      <alignment vertical="top" wrapText="1"/>
    </xf>
    <xf numFmtId="41" fontId="8" fillId="0" borderId="1" xfId="1" applyFont="1" applyFill="1" applyBorder="1" applyAlignment="1">
      <alignment horizontal="right" vertical="top" wrapText="1"/>
    </xf>
    <xf numFmtId="164" fontId="7" fillId="0" borderId="1" xfId="0" applyNumberFormat="1" applyFont="1" applyFill="1" applyBorder="1" applyAlignment="1">
      <alignment horizontal="right" vertical="center" wrapText="1"/>
    </xf>
    <xf numFmtId="0" fontId="21" fillId="0" borderId="1" xfId="1" applyNumberFormat="1" applyFont="1" applyFill="1" applyBorder="1" applyAlignment="1">
      <alignment horizontal="left" vertical="center"/>
    </xf>
    <xf numFmtId="9" fontId="7" fillId="0" borderId="1" xfId="0" applyNumberFormat="1" applyFont="1" applyFill="1" applyBorder="1" applyAlignment="1">
      <alignment vertical="center" wrapText="1"/>
    </xf>
    <xf numFmtId="0" fontId="7" fillId="0" borderId="1" xfId="0" quotePrefix="1" applyFont="1" applyFill="1" applyBorder="1" applyAlignment="1">
      <alignment vertical="top" wrapText="1"/>
    </xf>
    <xf numFmtId="0" fontId="23" fillId="0" borderId="1" xfId="0" applyFont="1" applyFill="1" applyBorder="1" applyAlignment="1">
      <alignment vertical="top" wrapText="1"/>
    </xf>
    <xf numFmtId="9" fontId="7" fillId="0" borderId="1" xfId="1" applyNumberFormat="1" applyFont="1" applyFill="1" applyBorder="1" applyAlignment="1">
      <alignment horizontal="right" vertical="center"/>
    </xf>
    <xf numFmtId="10"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right" vertical="center" wrapText="1"/>
    </xf>
    <xf numFmtId="164" fontId="7" fillId="0" borderId="1" xfId="2" applyNumberFormat="1" applyFont="1" applyFill="1" applyBorder="1" applyAlignment="1">
      <alignment horizontal="center" vertical="center" wrapText="1"/>
    </xf>
    <xf numFmtId="0" fontId="15" fillId="0" borderId="1" xfId="0" applyFont="1" applyFill="1" applyBorder="1" applyAlignment="1">
      <alignment horizontal="left" vertical="top" wrapText="1" indent="7"/>
    </xf>
    <xf numFmtId="0" fontId="21" fillId="0" borderId="1" xfId="5" applyFont="1" applyFill="1" applyBorder="1" applyAlignment="1">
      <alignment horizontal="left" vertical="center" wrapText="1"/>
    </xf>
    <xf numFmtId="0" fontId="17" fillId="0" borderId="1" xfId="5" applyFont="1" applyFill="1" applyBorder="1" applyAlignment="1">
      <alignment horizontal="left" vertical="center" wrapText="1"/>
    </xf>
    <xf numFmtId="164" fontId="8" fillId="0" borderId="1" xfId="2" applyNumberFormat="1" applyFont="1" applyFill="1" applyBorder="1" applyAlignment="1">
      <alignment horizontal="right" vertical="center"/>
    </xf>
    <xf numFmtId="0" fontId="8" fillId="0" borderId="1" xfId="0" quotePrefix="1" applyFont="1" applyFill="1" applyBorder="1" applyAlignment="1">
      <alignment horizontal="left" vertical="top" wrapText="1"/>
    </xf>
    <xf numFmtId="0" fontId="15" fillId="0" borderId="1" xfId="0" applyFont="1" applyFill="1" applyBorder="1" applyAlignment="1">
      <alignment horizontal="left" vertical="top" wrapText="1" indent="4"/>
    </xf>
    <xf numFmtId="0" fontId="8" fillId="0" borderId="1" xfId="5" applyFont="1" applyFill="1" applyBorder="1" applyAlignment="1">
      <alignment horizontal="left" vertical="center" wrapText="1"/>
    </xf>
    <xf numFmtId="9" fontId="17" fillId="0" borderId="1" xfId="6" applyNumberFormat="1" applyFont="1" applyFill="1" applyBorder="1" applyAlignment="1">
      <alignment horizontal="right" vertical="center"/>
    </xf>
    <xf numFmtId="176" fontId="7" fillId="0" borderId="1" xfId="1" applyNumberFormat="1" applyFont="1" applyFill="1" applyBorder="1" applyAlignment="1">
      <alignment vertical="center" wrapText="1"/>
    </xf>
    <xf numFmtId="9" fontId="8" fillId="0" borderId="1" xfId="1" applyNumberFormat="1" applyFont="1" applyFill="1" applyBorder="1" applyAlignment="1">
      <alignment horizontal="right" vertical="center"/>
    </xf>
    <xf numFmtId="10" fontId="8"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41" fontId="7" fillId="0" borderId="1" xfId="0" applyNumberFormat="1" applyFont="1" applyFill="1" applyBorder="1" applyAlignment="1">
      <alignment horizontal="center" vertical="center" wrapText="1"/>
    </xf>
    <xf numFmtId="0" fontId="7" fillId="0" borderId="1" xfId="0" quotePrefix="1" applyFont="1" applyFill="1" applyBorder="1" applyAlignment="1">
      <alignment horizontal="right" vertical="top" wrapText="1"/>
    </xf>
    <xf numFmtId="41" fontId="8" fillId="0" borderId="1" xfId="1"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1" xfId="0" applyFont="1" applyFill="1" applyBorder="1" applyAlignment="1">
      <alignment horizontal="right" vertical="top" wrapText="1"/>
    </xf>
    <xf numFmtId="10" fontId="8" fillId="0" borderId="1" xfId="2" applyNumberFormat="1" applyFont="1" applyFill="1" applyBorder="1" applyAlignment="1">
      <alignment vertical="top" wrapText="1"/>
    </xf>
    <xf numFmtId="0" fontId="17" fillId="0" borderId="1" xfId="0" applyNumberFormat="1" applyFont="1" applyFill="1" applyBorder="1" applyAlignment="1">
      <alignment vertical="center" wrapText="1"/>
    </xf>
    <xf numFmtId="10" fontId="7" fillId="0" borderId="1" xfId="0" applyNumberFormat="1" applyFont="1" applyFill="1" applyBorder="1" applyAlignment="1">
      <alignment horizontal="right" vertical="top"/>
    </xf>
    <xf numFmtId="0" fontId="21" fillId="0" borderId="1" xfId="0" applyNumberFormat="1" applyFont="1" applyFill="1" applyBorder="1" applyAlignment="1">
      <alignment vertical="center" wrapText="1"/>
    </xf>
    <xf numFmtId="0" fontId="21" fillId="0" borderId="1" xfId="0" applyNumberFormat="1" applyFont="1" applyFill="1" applyBorder="1" applyAlignment="1">
      <alignment vertical="center"/>
    </xf>
    <xf numFmtId="0" fontId="7" fillId="0" borderId="1" xfId="5" applyFont="1" applyFill="1" applyBorder="1" applyAlignment="1">
      <alignment horizontal="left" vertical="center" wrapText="1"/>
    </xf>
    <xf numFmtId="164" fontId="7" fillId="0" borderId="1" xfId="0" applyNumberFormat="1" applyFont="1" applyFill="1" applyBorder="1" applyAlignment="1">
      <alignment vertical="center" wrapText="1"/>
    </xf>
    <xf numFmtId="41" fontId="8" fillId="0" borderId="1" xfId="0" applyNumberFormat="1" applyFont="1" applyFill="1" applyBorder="1" applyAlignment="1">
      <alignment horizontal="center" vertical="center" wrapText="1"/>
    </xf>
    <xf numFmtId="164" fontId="21" fillId="0" borderId="1" xfId="2" applyNumberFormat="1" applyFont="1" applyFill="1" applyBorder="1" applyAlignment="1">
      <alignment horizontal="center" vertical="center"/>
    </xf>
    <xf numFmtId="0" fontId="23" fillId="0" borderId="1" xfId="0" applyFont="1" applyFill="1" applyBorder="1" applyAlignment="1">
      <alignment horizontal="right" vertical="top" wrapText="1"/>
    </xf>
    <xf numFmtId="164" fontId="8" fillId="0" borderId="1" xfId="2" applyNumberFormat="1" applyFont="1" applyFill="1" applyBorder="1" applyAlignment="1">
      <alignment horizontal="center" vertical="center"/>
    </xf>
    <xf numFmtId="9" fontId="8" fillId="0" borderId="1" xfId="1" applyNumberFormat="1" applyFont="1" applyFill="1" applyBorder="1" applyAlignment="1">
      <alignment horizontal="right" vertical="top" wrapText="1"/>
    </xf>
    <xf numFmtId="0" fontId="17" fillId="0" borderId="1" xfId="0" applyNumberFormat="1" applyFont="1" applyFill="1" applyBorder="1" applyAlignment="1">
      <alignment horizontal="left" vertical="center" wrapText="1"/>
    </xf>
    <xf numFmtId="164" fontId="17" fillId="0" borderId="1" xfId="2" applyNumberFormat="1" applyFont="1" applyFill="1" applyBorder="1" applyAlignment="1">
      <alignment horizontal="right" vertical="center" wrapText="1"/>
    </xf>
    <xf numFmtId="9" fontId="8" fillId="0" borderId="1" xfId="2" applyNumberFormat="1" applyFont="1" applyFill="1" applyBorder="1" applyAlignment="1">
      <alignment vertical="top" wrapText="1"/>
    </xf>
    <xf numFmtId="164" fontId="8" fillId="0" borderId="1" xfId="0" applyNumberFormat="1" applyFont="1" applyFill="1" applyBorder="1" applyAlignment="1">
      <alignment vertical="center" wrapText="1"/>
    </xf>
    <xf numFmtId="0" fontId="21" fillId="0" borderId="1" xfId="1" applyNumberFormat="1" applyFont="1" applyFill="1" applyBorder="1" applyAlignment="1">
      <alignment horizontal="left" vertical="center" wrapText="1"/>
    </xf>
    <xf numFmtId="0" fontId="21" fillId="0" borderId="1" xfId="1" applyNumberFormat="1" applyFont="1" applyFill="1" applyBorder="1" applyAlignment="1">
      <alignment vertical="top" wrapText="1"/>
    </xf>
    <xf numFmtId="0" fontId="7" fillId="0" borderId="84" xfId="0" applyFont="1" applyFill="1" applyBorder="1" applyAlignment="1">
      <alignment vertical="top" wrapText="1"/>
    </xf>
    <xf numFmtId="0" fontId="21" fillId="0" borderId="1" xfId="0" applyNumberFormat="1" applyFont="1" applyFill="1" applyBorder="1" applyAlignment="1">
      <alignment vertical="top" wrapText="1"/>
    </xf>
    <xf numFmtId="0" fontId="8" fillId="0" borderId="84" xfId="0" applyFont="1" applyFill="1" applyBorder="1" applyAlignment="1">
      <alignment vertical="top" wrapText="1"/>
    </xf>
    <xf numFmtId="10" fontId="8" fillId="0" borderId="1" xfId="0" applyNumberFormat="1" applyFont="1" applyFill="1" applyBorder="1" applyAlignment="1">
      <alignment wrapText="1"/>
    </xf>
    <xf numFmtId="41" fontId="8" fillId="0" borderId="1" xfId="0" applyNumberFormat="1" applyFont="1" applyFill="1" applyBorder="1" applyAlignment="1">
      <alignment wrapText="1"/>
    </xf>
    <xf numFmtId="177" fontId="8" fillId="0" borderId="1" xfId="0" applyNumberFormat="1" applyFont="1" applyFill="1" applyBorder="1" applyAlignment="1">
      <alignment vertical="top" wrapText="1"/>
    </xf>
    <xf numFmtId="0" fontId="21" fillId="0" borderId="1" xfId="0" applyNumberFormat="1" applyFont="1" applyFill="1" applyBorder="1" applyAlignment="1">
      <alignment horizontal="left" vertical="center"/>
    </xf>
    <xf numFmtId="9" fontId="21" fillId="0" borderId="1" xfId="6" applyNumberFormat="1" applyFont="1" applyFill="1" applyBorder="1" applyAlignment="1">
      <alignment horizontal="right" vertical="center"/>
    </xf>
    <xf numFmtId="0" fontId="8" fillId="0" borderId="0" xfId="0" applyFont="1" applyFill="1" applyBorder="1" applyAlignment="1">
      <alignment vertical="top" wrapText="1"/>
    </xf>
    <xf numFmtId="0" fontId="15" fillId="0" borderId="0" xfId="0" applyFont="1" applyFill="1" applyBorder="1" applyAlignment="1">
      <alignment vertical="top" wrapText="1"/>
    </xf>
    <xf numFmtId="0" fontId="8" fillId="0" borderId="0" xfId="0" applyFont="1" applyFill="1" applyBorder="1" applyAlignment="1">
      <alignment horizontal="right" vertical="top" wrapText="1"/>
    </xf>
    <xf numFmtId="164" fontId="8" fillId="0" borderId="0" xfId="2" applyNumberFormat="1" applyFont="1" applyFill="1" applyBorder="1" applyAlignment="1">
      <alignment vertical="top" wrapText="1"/>
    </xf>
    <xf numFmtId="10" fontId="7" fillId="0" borderId="0" xfId="0" applyNumberFormat="1" applyFont="1" applyFill="1" applyBorder="1" applyAlignment="1">
      <alignment vertical="top" wrapText="1"/>
    </xf>
    <xf numFmtId="10" fontId="8" fillId="0" borderId="0" xfId="0" applyNumberFormat="1" applyFont="1" applyFill="1" applyBorder="1" applyAlignment="1">
      <alignment vertical="top" wrapText="1"/>
    </xf>
    <xf numFmtId="41" fontId="7" fillId="0" borderId="0" xfId="0" applyNumberFormat="1" applyFont="1" applyFill="1" applyBorder="1" applyAlignment="1">
      <alignment vertical="top" wrapText="1"/>
    </xf>
    <xf numFmtId="0" fontId="15" fillId="0" borderId="83" xfId="0" applyFont="1" applyFill="1" applyBorder="1" applyAlignment="1">
      <alignment vertical="top" wrapText="1"/>
    </xf>
    <xf numFmtId="0" fontId="8" fillId="0" borderId="83" xfId="0" applyFont="1" applyFill="1" applyBorder="1" applyAlignment="1">
      <alignment vertical="top" wrapText="1"/>
    </xf>
    <xf numFmtId="0" fontId="15" fillId="0" borderId="81" xfId="0" applyFont="1" applyFill="1" applyBorder="1" applyAlignment="1">
      <alignment vertical="top" wrapText="1"/>
    </xf>
    <xf numFmtId="0" fontId="15" fillId="0" borderId="82" xfId="0" applyFont="1" applyFill="1" applyBorder="1" applyAlignment="1">
      <alignment vertical="top" wrapText="1"/>
    </xf>
    <xf numFmtId="0" fontId="33" fillId="0" borderId="0" xfId="0" applyFont="1"/>
    <xf numFmtId="0" fontId="31" fillId="0" borderId="0" xfId="0" applyFont="1"/>
    <xf numFmtId="0" fontId="7" fillId="0" borderId="65" xfId="0" quotePrefix="1" applyFont="1" applyBorder="1" applyAlignment="1">
      <alignment vertical="top" wrapText="1"/>
    </xf>
    <xf numFmtId="0" fontId="7" fillId="0" borderId="65" xfId="0" applyFont="1" applyBorder="1" applyAlignment="1">
      <alignment vertical="top" wrapText="1"/>
    </xf>
    <xf numFmtId="0" fontId="17" fillId="0" borderId="65" xfId="0" quotePrefix="1" applyFont="1" applyBorder="1" applyAlignment="1">
      <alignment vertical="top" wrapText="1"/>
    </xf>
    <xf numFmtId="0" fontId="17" fillId="0" borderId="65" xfId="0" applyFont="1" applyBorder="1" applyAlignment="1">
      <alignment vertical="top" wrapText="1"/>
    </xf>
    <xf numFmtId="0" fontId="17" fillId="0" borderId="54" xfId="0" applyFont="1" applyBorder="1" applyAlignment="1">
      <alignment vertical="top" wrapText="1"/>
    </xf>
    <xf numFmtId="9" fontId="7" fillId="0" borderId="65" xfId="0" applyNumberFormat="1" applyFont="1" applyBorder="1" applyAlignment="1">
      <alignment vertical="top" wrapText="1"/>
    </xf>
    <xf numFmtId="41" fontId="7" fillId="0" borderId="65" xfId="0" applyNumberFormat="1" applyFont="1" applyBorder="1" applyAlignment="1">
      <alignment vertical="top" wrapText="1"/>
    </xf>
    <xf numFmtId="10" fontId="7" fillId="0" borderId="65" xfId="0" applyNumberFormat="1" applyFont="1" applyBorder="1" applyAlignment="1">
      <alignment horizontal="right" vertical="top" wrapText="1"/>
    </xf>
    <xf numFmtId="166" fontId="8" fillId="0" borderId="65" xfId="1" applyNumberFormat="1" applyFont="1" applyBorder="1" applyAlignment="1">
      <alignment horizontal="right" vertical="top" wrapText="1"/>
    </xf>
    <xf numFmtId="165" fontId="7" fillId="0" borderId="65" xfId="1" applyNumberFormat="1" applyFont="1" applyBorder="1" applyAlignment="1">
      <alignment vertical="top" wrapText="1"/>
    </xf>
    <xf numFmtId="166" fontId="7" fillId="0" borderId="65" xfId="0" applyNumberFormat="1" applyFont="1" applyBorder="1" applyAlignment="1">
      <alignment horizontal="right" vertical="top" wrapText="1"/>
    </xf>
    <xf numFmtId="10" fontId="8" fillId="0" borderId="65" xfId="0" applyNumberFormat="1" applyFont="1" applyBorder="1" applyAlignment="1">
      <alignment vertical="top" wrapText="1"/>
    </xf>
    <xf numFmtId="164" fontId="8" fillId="0" borderId="65" xfId="2" applyNumberFormat="1" applyFont="1" applyBorder="1" applyAlignment="1">
      <alignment vertical="top" wrapText="1"/>
    </xf>
    <xf numFmtId="165" fontId="7" fillId="0" borderId="65" xfId="0" applyNumberFormat="1" applyFont="1" applyBorder="1" applyAlignment="1">
      <alignment horizontal="right" vertical="top" wrapText="1"/>
    </xf>
    <xf numFmtId="10" fontId="8" fillId="0" borderId="65" xfId="3" applyNumberFormat="1" applyFont="1" applyBorder="1" applyAlignment="1">
      <alignment vertical="top" wrapText="1"/>
    </xf>
    <xf numFmtId="0" fontId="8" fillId="0" borderId="65" xfId="0" applyFont="1" applyBorder="1" applyAlignment="1">
      <alignment vertical="top" wrapText="1"/>
    </xf>
    <xf numFmtId="0" fontId="21" fillId="0" borderId="65" xfId="0" quotePrefix="1" applyFont="1" applyBorder="1" applyAlignment="1">
      <alignment vertical="top" wrapText="1"/>
    </xf>
    <xf numFmtId="0" fontId="21" fillId="0" borderId="54" xfId="0" applyNumberFormat="1" applyFont="1" applyBorder="1" applyAlignment="1">
      <alignment vertical="center" wrapText="1"/>
    </xf>
    <xf numFmtId="0" fontId="21" fillId="0" borderId="65" xfId="0" applyNumberFormat="1" applyFont="1" applyBorder="1" applyAlignment="1">
      <alignment vertical="center" wrapText="1"/>
    </xf>
    <xf numFmtId="9" fontId="8" fillId="0" borderId="65" xfId="0" applyNumberFormat="1" applyFont="1" applyBorder="1" applyAlignment="1">
      <alignment vertical="top" wrapText="1"/>
    </xf>
    <xf numFmtId="41" fontId="8" fillId="0" borderId="65" xfId="1" applyFont="1" applyBorder="1" applyAlignment="1">
      <alignment vertical="top" wrapText="1"/>
    </xf>
    <xf numFmtId="0" fontId="8" fillId="0" borderId="65" xfId="0" applyFont="1" applyBorder="1" applyAlignment="1">
      <alignment horizontal="right" vertical="top" wrapText="1"/>
    </xf>
    <xf numFmtId="41" fontId="17" fillId="0" borderId="0" xfId="0" applyNumberFormat="1" applyFont="1" applyAlignment="1">
      <alignment horizontal="center" vertical="top"/>
    </xf>
    <xf numFmtId="41" fontId="7" fillId="0" borderId="65" xfId="1" applyFont="1" applyBorder="1" applyAlignment="1">
      <alignment vertical="top" wrapText="1"/>
    </xf>
    <xf numFmtId="0" fontId="21" fillId="0" borderId="65" xfId="0" applyFont="1" applyBorder="1" applyAlignment="1">
      <alignment vertical="top" wrapText="1"/>
    </xf>
    <xf numFmtId="0" fontId="21" fillId="0" borderId="54" xfId="1" applyNumberFormat="1" applyFont="1" applyBorder="1" applyAlignment="1">
      <alignment vertical="center"/>
    </xf>
    <xf numFmtId="0" fontId="21" fillId="0" borderId="65" xfId="1" applyNumberFormat="1" applyFont="1" applyBorder="1" applyAlignment="1">
      <alignment vertical="center" wrapText="1"/>
    </xf>
    <xf numFmtId="0" fontId="21" fillId="0" borderId="54" xfId="0" applyNumberFormat="1" applyFont="1" applyBorder="1" applyAlignment="1">
      <alignment vertical="center"/>
    </xf>
    <xf numFmtId="10" fontId="8" fillId="0" borderId="65" xfId="0" applyNumberFormat="1" applyFont="1" applyBorder="1" applyAlignment="1">
      <alignment horizontal="right" vertical="top" wrapText="1"/>
    </xf>
    <xf numFmtId="0" fontId="21" fillId="0" borderId="54" xfId="0" applyNumberFormat="1" applyFont="1" applyBorder="1" applyAlignment="1">
      <alignment vertical="top" wrapText="1"/>
    </xf>
    <xf numFmtId="0" fontId="21" fillId="0" borderId="84" xfId="0" applyNumberFormat="1" applyFont="1" applyBorder="1" applyAlignment="1">
      <alignment vertical="center" wrapText="1"/>
    </xf>
    <xf numFmtId="0" fontId="21" fillId="0" borderId="84" xfId="0" applyNumberFormat="1" applyFont="1" applyBorder="1" applyAlignment="1">
      <alignment vertical="center"/>
    </xf>
    <xf numFmtId="0" fontId="21" fillId="0" borderId="84" xfId="1" quotePrefix="1" applyNumberFormat="1" applyFont="1" applyBorder="1" applyAlignment="1">
      <alignment horizontal="center" vertical="center"/>
    </xf>
    <xf numFmtId="0" fontId="21" fillId="0" borderId="65" xfId="0" applyNumberFormat="1" applyFont="1" applyBorder="1" applyAlignment="1">
      <alignment vertical="center"/>
    </xf>
    <xf numFmtId="0" fontId="21" fillId="0" borderId="84" xfId="0" applyFont="1" applyBorder="1" applyAlignment="1">
      <alignment vertical="top" wrapText="1"/>
    </xf>
    <xf numFmtId="10" fontId="7" fillId="0" borderId="65" xfId="0" applyNumberFormat="1" applyFont="1" applyBorder="1" applyAlignment="1">
      <alignment vertical="top" wrapText="1"/>
    </xf>
    <xf numFmtId="0" fontId="21" fillId="0" borderId="84" xfId="0" applyFont="1" applyBorder="1" applyAlignment="1">
      <alignment horizontal="left" vertical="top" wrapText="1" indent="4"/>
    </xf>
    <xf numFmtId="0" fontId="17" fillId="0" borderId="84" xfId="0" applyFont="1" applyBorder="1" applyAlignment="1">
      <alignment vertical="top" wrapText="1"/>
    </xf>
    <xf numFmtId="0" fontId="7" fillId="0" borderId="65" xfId="0" applyFont="1" applyBorder="1" applyAlignment="1">
      <alignment horizontal="right" vertical="top" wrapText="1"/>
    </xf>
    <xf numFmtId="0" fontId="17" fillId="0" borderId="84" xfId="0" applyNumberFormat="1" applyFont="1" applyBorder="1" applyAlignment="1">
      <alignment horizontal="left" vertical="center" wrapText="1"/>
    </xf>
    <xf numFmtId="0" fontId="36" fillId="0" borderId="65" xfId="0" applyFont="1" applyBorder="1" applyAlignment="1">
      <alignment vertical="top" wrapText="1"/>
    </xf>
    <xf numFmtId="0" fontId="21" fillId="0" borderId="94" xfId="0" applyNumberFormat="1" applyFont="1" applyFill="1" applyBorder="1" applyAlignment="1">
      <alignment horizontal="left" vertical="center"/>
    </xf>
    <xf numFmtId="0" fontId="21" fillId="0" borderId="95" xfId="0" applyNumberFormat="1" applyFont="1" applyFill="1" applyBorder="1" applyAlignment="1">
      <alignment horizontal="left" vertical="center"/>
    </xf>
    <xf numFmtId="0" fontId="21" fillId="0" borderId="58" xfId="0" applyFont="1" applyBorder="1" applyAlignment="1">
      <alignment horizontal="left" vertical="top" wrapText="1" indent="4"/>
    </xf>
    <xf numFmtId="0" fontId="37" fillId="0" borderId="65" xfId="0" applyFont="1" applyBorder="1" applyAlignment="1">
      <alignment vertical="top" wrapText="1"/>
    </xf>
    <xf numFmtId="0" fontId="17" fillId="15" borderId="95" xfId="0" applyNumberFormat="1" applyFont="1" applyFill="1" applyBorder="1" applyAlignment="1">
      <alignment horizontal="left" vertical="center" wrapText="1"/>
    </xf>
    <xf numFmtId="0" fontId="36" fillId="0" borderId="56" xfId="0" applyFont="1" applyBorder="1" applyAlignment="1">
      <alignment vertical="top" wrapText="1"/>
    </xf>
    <xf numFmtId="10" fontId="7" fillId="0" borderId="65" xfId="1" applyNumberFormat="1" applyFont="1" applyBorder="1" applyAlignment="1">
      <alignment vertical="top" wrapText="1"/>
    </xf>
    <xf numFmtId="0" fontId="21" fillId="0" borderId="96" xfId="0" applyNumberFormat="1" applyFont="1" applyFill="1" applyBorder="1" applyAlignment="1">
      <alignment horizontal="left" vertical="center"/>
    </xf>
    <xf numFmtId="0" fontId="21" fillId="0" borderId="97" xfId="0" applyNumberFormat="1" applyFont="1" applyFill="1" applyBorder="1" applyAlignment="1">
      <alignment horizontal="left" vertical="center" wrapText="1"/>
    </xf>
    <xf numFmtId="41" fontId="36" fillId="0" borderId="65" xfId="1" applyFont="1" applyBorder="1" applyAlignment="1">
      <alignment vertical="top" wrapText="1"/>
    </xf>
    <xf numFmtId="0" fontId="21" fillId="0" borderId="96" xfId="0" applyNumberFormat="1" applyFont="1" applyFill="1" applyBorder="1" applyAlignment="1">
      <alignment horizontal="left" vertical="center" wrapText="1"/>
    </xf>
    <xf numFmtId="0" fontId="21" fillId="0" borderId="97" xfId="0" applyNumberFormat="1" applyFont="1" applyFill="1" applyBorder="1" applyAlignment="1">
      <alignment horizontal="left" vertical="center"/>
    </xf>
    <xf numFmtId="0" fontId="21" fillId="0" borderId="96" xfId="0" applyFont="1" applyFill="1" applyBorder="1" applyAlignment="1">
      <alignment vertical="center" wrapText="1"/>
    </xf>
    <xf numFmtId="0" fontId="21" fillId="0" borderId="97" xfId="0" applyFont="1" applyFill="1" applyBorder="1" applyAlignment="1">
      <alignment vertical="center" wrapText="1"/>
    </xf>
    <xf numFmtId="0" fontId="21" fillId="0" borderId="97" xfId="0" applyFont="1" applyFill="1" applyBorder="1" applyAlignment="1">
      <alignment vertical="center"/>
    </xf>
    <xf numFmtId="0" fontId="21" fillId="0" borderId="70" xfId="0" applyFont="1" applyBorder="1" applyAlignment="1">
      <alignment vertical="top" wrapText="1"/>
    </xf>
    <xf numFmtId="0" fontId="37" fillId="0" borderId="79" xfId="0" applyFont="1" applyBorder="1" applyAlignment="1">
      <alignment vertical="top" wrapText="1"/>
    </xf>
    <xf numFmtId="0" fontId="21" fillId="0" borderId="98" xfId="0" applyNumberFormat="1" applyFont="1" applyFill="1" applyBorder="1" applyAlignment="1">
      <alignment horizontal="left" vertical="center"/>
    </xf>
    <xf numFmtId="0" fontId="21" fillId="0" borderId="99" xfId="0" applyNumberFormat="1" applyFont="1" applyFill="1" applyBorder="1" applyAlignment="1">
      <alignment horizontal="left" vertical="center" wrapText="1"/>
    </xf>
    <xf numFmtId="41" fontId="21" fillId="0" borderId="97" xfId="1" applyFont="1" applyFill="1" applyBorder="1" applyAlignment="1">
      <alignment horizontal="left" vertical="top" wrapText="1"/>
    </xf>
    <xf numFmtId="0" fontId="21" fillId="0" borderId="100" xfId="0" applyNumberFormat="1" applyFont="1" applyFill="1" applyBorder="1" applyAlignment="1">
      <alignment horizontal="left" vertical="center"/>
    </xf>
    <xf numFmtId="0" fontId="17" fillId="0" borderId="99" xfId="0" applyNumberFormat="1" applyFont="1" applyFill="1" applyBorder="1" applyAlignment="1">
      <alignment horizontal="left" vertical="center" wrapText="1"/>
    </xf>
    <xf numFmtId="41" fontId="17" fillId="0" borderId="97" xfId="1" applyFont="1" applyFill="1" applyBorder="1" applyAlignment="1">
      <alignment horizontal="left" vertical="center"/>
    </xf>
    <xf numFmtId="0" fontId="21" fillId="0" borderId="101" xfId="0" applyNumberFormat="1" applyFont="1" applyFill="1" applyBorder="1" applyAlignment="1">
      <alignment horizontal="left" vertical="center"/>
    </xf>
    <xf numFmtId="0" fontId="17" fillId="0" borderId="65" xfId="0" applyNumberFormat="1" applyFont="1" applyFill="1" applyBorder="1" applyAlignment="1">
      <alignment horizontal="left" vertical="center"/>
    </xf>
    <xf numFmtId="0" fontId="17" fillId="15" borderId="102" xfId="0" applyNumberFormat="1" applyFont="1" applyFill="1" applyBorder="1" applyAlignment="1">
      <alignment horizontal="left" vertical="center" wrapText="1"/>
    </xf>
    <xf numFmtId="0" fontId="17" fillId="0" borderId="79" xfId="0" applyNumberFormat="1" applyFont="1" applyFill="1" applyBorder="1" applyAlignment="1">
      <alignment horizontal="left" vertical="center"/>
    </xf>
    <xf numFmtId="0" fontId="21" fillId="15" borderId="102" xfId="0" applyNumberFormat="1" applyFont="1" applyFill="1" applyBorder="1" applyAlignment="1">
      <alignment horizontal="left" vertical="center" wrapText="1"/>
    </xf>
    <xf numFmtId="0" fontId="21" fillId="0" borderId="79" xfId="0" applyNumberFormat="1" applyFont="1" applyFill="1" applyBorder="1" applyAlignment="1">
      <alignment horizontal="left" vertical="center" wrapText="1"/>
    </xf>
    <xf numFmtId="41" fontId="21" fillId="0" borderId="97" xfId="1" applyFont="1" applyFill="1" applyBorder="1" applyAlignment="1">
      <alignment horizontal="left" vertical="center"/>
    </xf>
    <xf numFmtId="0" fontId="21" fillId="0" borderId="103" xfId="0" applyNumberFormat="1" applyFont="1" applyFill="1" applyBorder="1" applyAlignment="1">
      <alignment horizontal="left" vertical="center"/>
    </xf>
    <xf numFmtId="0" fontId="21" fillId="0" borderId="54" xfId="0" applyFont="1" applyBorder="1" applyAlignment="1">
      <alignment horizontal="left" vertical="top" wrapText="1" indent="4"/>
    </xf>
    <xf numFmtId="0" fontId="37" fillId="0" borderId="104" xfId="0" applyFont="1" applyBorder="1" applyAlignment="1">
      <alignment vertical="top" wrapText="1"/>
    </xf>
    <xf numFmtId="0" fontId="7" fillId="9" borderId="1" xfId="0" quotePrefix="1" applyFont="1" applyFill="1" applyBorder="1" applyAlignment="1">
      <alignment horizontal="center" vertical="top"/>
    </xf>
    <xf numFmtId="0" fontId="7" fillId="9" borderId="1" xfId="0" applyFont="1" applyFill="1" applyBorder="1" applyAlignment="1">
      <alignment vertical="top" wrapText="1"/>
    </xf>
    <xf numFmtId="0" fontId="7" fillId="9" borderId="1" xfId="0" applyFont="1" applyFill="1" applyBorder="1" applyAlignment="1">
      <alignment vertical="top"/>
    </xf>
    <xf numFmtId="41" fontId="7" fillId="9" borderId="1" xfId="1" applyFont="1" applyFill="1" applyBorder="1" applyAlignment="1">
      <alignment vertical="top"/>
    </xf>
    <xf numFmtId="2" fontId="4" fillId="9" borderId="1" xfId="0" applyNumberFormat="1" applyFont="1" applyFill="1" applyBorder="1" applyAlignment="1">
      <alignment vertical="top"/>
    </xf>
    <xf numFmtId="166" fontId="4" fillId="9" borderId="1" xfId="1" applyNumberFormat="1" applyFont="1" applyFill="1" applyBorder="1" applyAlignment="1">
      <alignment vertical="top"/>
    </xf>
    <xf numFmtId="0" fontId="4" fillId="9" borderId="1" xfId="0" applyFont="1" applyFill="1" applyBorder="1" applyAlignment="1">
      <alignment horizontal="center" vertical="top"/>
    </xf>
    <xf numFmtId="0" fontId="8" fillId="9" borderId="1" xfId="0" applyFont="1" applyFill="1" applyBorder="1" applyAlignment="1">
      <alignment horizontal="left" vertical="top" wrapText="1"/>
    </xf>
    <xf numFmtId="0" fontId="8" fillId="9" borderId="1" xfId="0" quotePrefix="1" applyFont="1" applyFill="1" applyBorder="1" applyAlignment="1">
      <alignment horizontal="center" vertical="top"/>
    </xf>
    <xf numFmtId="0" fontId="8" fillId="9" borderId="4" xfId="0" quotePrefix="1" applyFont="1" applyFill="1" applyBorder="1" applyAlignment="1">
      <alignment horizontal="center" vertical="top"/>
    </xf>
    <xf numFmtId="0" fontId="0" fillId="9" borderId="0" xfId="0" applyFill="1" applyAlignment="1">
      <alignment vertical="top"/>
    </xf>
    <xf numFmtId="0" fontId="4" fillId="9" borderId="0" xfId="0" applyFont="1" applyFill="1" applyAlignment="1">
      <alignment vertical="top"/>
    </xf>
    <xf numFmtId="0" fontId="8" fillId="9" borderId="1" xfId="0" applyFont="1" applyFill="1" applyBorder="1" applyAlignment="1">
      <alignment vertical="top" wrapText="1"/>
    </xf>
    <xf numFmtId="41" fontId="21" fillId="9" borderId="1" xfId="1" applyFont="1" applyFill="1" applyBorder="1" applyAlignment="1">
      <alignment vertical="top" wrapText="1"/>
    </xf>
    <xf numFmtId="41" fontId="8" fillId="9" borderId="1" xfId="1" applyFont="1" applyFill="1" applyBorder="1" applyAlignment="1">
      <alignment vertical="top" wrapText="1"/>
    </xf>
    <xf numFmtId="41" fontId="8" fillId="9" borderId="1" xfId="0" applyNumberFormat="1" applyFont="1" applyFill="1" applyBorder="1" applyAlignment="1">
      <alignment vertical="top" wrapText="1"/>
    </xf>
    <xf numFmtId="0" fontId="8" fillId="9" borderId="1" xfId="0" applyFont="1" applyFill="1" applyBorder="1" applyAlignment="1">
      <alignment vertical="top"/>
    </xf>
    <xf numFmtId="0" fontId="8" fillId="9" borderId="1" xfId="0" applyFont="1" applyFill="1" applyBorder="1" applyAlignment="1">
      <alignment wrapText="1"/>
    </xf>
    <xf numFmtId="0" fontId="7" fillId="9" borderId="4" xfId="0" quotePrefix="1" applyFont="1" applyFill="1" applyBorder="1" applyAlignment="1">
      <alignment horizontal="center" vertical="top"/>
    </xf>
    <xf numFmtId="41" fontId="17" fillId="9" borderId="1" xfId="1" applyFont="1" applyFill="1" applyBorder="1" applyAlignment="1">
      <alignment vertical="top" wrapText="1"/>
    </xf>
    <xf numFmtId="41" fontId="7" fillId="9" borderId="1" xfId="1" applyFont="1" applyFill="1" applyBorder="1" applyAlignment="1">
      <alignment vertical="top" wrapText="1"/>
    </xf>
    <xf numFmtId="10" fontId="17" fillId="9" borderId="1" xfId="0" applyNumberFormat="1" applyFont="1" applyFill="1" applyBorder="1" applyAlignment="1">
      <alignment vertical="top" wrapText="1"/>
    </xf>
    <xf numFmtId="41" fontId="7" fillId="9" borderId="1" xfId="0" applyNumberFormat="1" applyFont="1" applyFill="1" applyBorder="1" applyAlignment="1">
      <alignment vertical="top" wrapText="1"/>
    </xf>
    <xf numFmtId="0" fontId="8" fillId="9" borderId="1" xfId="0" applyFont="1" applyFill="1" applyBorder="1" applyAlignment="1">
      <alignment horizontal="right" vertical="top" wrapText="1"/>
    </xf>
    <xf numFmtId="0" fontId="7" fillId="9" borderId="1" xfId="0" applyFont="1" applyFill="1" applyBorder="1" applyAlignment="1">
      <alignment horizontal="right" vertical="top" wrapText="1"/>
    </xf>
    <xf numFmtId="0" fontId="7" fillId="9" borderId="1" xfId="0" applyFont="1" applyFill="1" applyBorder="1" applyAlignment="1">
      <alignment wrapText="1"/>
    </xf>
    <xf numFmtId="41" fontId="8" fillId="9" borderId="1" xfId="0" applyNumberFormat="1" applyFont="1" applyFill="1" applyBorder="1" applyAlignment="1">
      <alignment wrapText="1"/>
    </xf>
    <xf numFmtId="41" fontId="8" fillId="0" borderId="1" xfId="0" applyNumberFormat="1" applyFont="1" applyBorder="1" applyAlignment="1">
      <alignment vertical="top" wrapText="1"/>
    </xf>
    <xf numFmtId="41" fontId="35" fillId="9" borderId="1" xfId="0" applyNumberFormat="1" applyFont="1" applyFill="1" applyBorder="1" applyAlignment="1">
      <alignment vertical="top" wrapText="1"/>
    </xf>
    <xf numFmtId="0" fontId="0" fillId="9" borderId="1" xfId="0" applyFill="1" applyBorder="1" applyAlignment="1">
      <alignment vertical="top"/>
    </xf>
    <xf numFmtId="41" fontId="9" fillId="9" borderId="1" xfId="0" applyNumberFormat="1" applyFont="1" applyFill="1" applyBorder="1"/>
    <xf numFmtId="0" fontId="0" fillId="9" borderId="1" xfId="0" applyFill="1" applyBorder="1"/>
    <xf numFmtId="0" fontId="21" fillId="0" borderId="13" xfId="0" applyFont="1" applyBorder="1"/>
    <xf numFmtId="0" fontId="17" fillId="0" borderId="11" xfId="0" applyFont="1" applyFill="1" applyBorder="1" applyAlignment="1">
      <alignment vertical="top" wrapText="1"/>
    </xf>
    <xf numFmtId="41" fontId="17" fillId="0" borderId="1" xfId="1" applyFont="1" applyFill="1" applyBorder="1" applyAlignment="1">
      <alignment vertical="top"/>
    </xf>
    <xf numFmtId="41" fontId="17" fillId="0" borderId="1" xfId="1" applyFont="1" applyFill="1" applyBorder="1" applyAlignment="1">
      <alignment horizontal="center" vertical="top"/>
    </xf>
    <xf numFmtId="0" fontId="17" fillId="0" borderId="1" xfId="0" applyFont="1" applyFill="1" applyBorder="1" applyAlignment="1">
      <alignment vertical="top"/>
    </xf>
    <xf numFmtId="166" fontId="17" fillId="0" borderId="1" xfId="0" applyNumberFormat="1" applyFont="1" applyFill="1" applyBorder="1" applyAlignment="1">
      <alignment vertical="top"/>
    </xf>
    <xf numFmtId="166" fontId="17" fillId="0" borderId="1" xfId="1" applyNumberFormat="1" applyFont="1" applyFill="1" applyBorder="1" applyAlignment="1">
      <alignment vertical="top"/>
    </xf>
    <xf numFmtId="0" fontId="28" fillId="0" borderId="0" xfId="0" applyFont="1" applyFill="1" applyAlignment="1">
      <alignment vertical="top"/>
    </xf>
    <xf numFmtId="0" fontId="21" fillId="0" borderId="4" xfId="0" applyFont="1" applyBorder="1" applyAlignment="1">
      <alignment vertical="top"/>
    </xf>
    <xf numFmtId="0" fontId="21" fillId="0" borderId="1" xfId="0" applyFont="1" applyBorder="1" applyAlignment="1">
      <alignment vertical="top" wrapText="1"/>
    </xf>
    <xf numFmtId="0" fontId="21" fillId="0" borderId="4" xfId="0" quotePrefix="1" applyFont="1" applyBorder="1" applyAlignment="1">
      <alignment horizontal="center" vertical="top"/>
    </xf>
    <xf numFmtId="0" fontId="21" fillId="0" borderId="1" xfId="0" quotePrefix="1" applyFont="1" applyFill="1" applyBorder="1" applyAlignment="1">
      <alignment horizontal="center" vertical="top"/>
    </xf>
    <xf numFmtId="0" fontId="21" fillId="0" borderId="8" xfId="0" applyFont="1" applyBorder="1" applyAlignment="1">
      <alignment vertical="top" wrapText="1"/>
    </xf>
    <xf numFmtId="3" fontId="21" fillId="0" borderId="4" xfId="0" applyNumberFormat="1" applyFont="1" applyBorder="1" applyAlignment="1">
      <alignment vertical="top"/>
    </xf>
    <xf numFmtId="41" fontId="21" fillId="0" borderId="4" xfId="1" applyFont="1" applyBorder="1" applyAlignment="1">
      <alignment vertical="top"/>
    </xf>
    <xf numFmtId="41" fontId="21" fillId="0" borderId="4" xfId="1" quotePrefix="1" applyFont="1" applyBorder="1" applyAlignment="1">
      <alignment vertical="top"/>
    </xf>
    <xf numFmtId="165" fontId="21" fillId="0" borderId="4" xfId="1" quotePrefix="1" applyNumberFormat="1" applyFont="1" applyBorder="1" applyAlignment="1">
      <alignment vertical="top"/>
    </xf>
    <xf numFmtId="41" fontId="21" fillId="0" borderId="4" xfId="1" applyFont="1" applyBorder="1" applyAlignment="1">
      <alignment horizontal="center" vertical="top"/>
    </xf>
    <xf numFmtId="165" fontId="21" fillId="0" borderId="1" xfId="1" applyNumberFormat="1" applyFont="1" applyFill="1" applyBorder="1" applyAlignment="1">
      <alignment vertical="top"/>
    </xf>
    <xf numFmtId="41" fontId="21" fillId="0" borderId="4" xfId="0" quotePrefix="1" applyNumberFormat="1" applyFont="1" applyBorder="1" applyAlignment="1">
      <alignment vertical="top"/>
    </xf>
    <xf numFmtId="166" fontId="21" fillId="0" borderId="4" xfId="1" applyNumberFormat="1" applyFont="1" applyBorder="1" applyAlignment="1">
      <alignment vertical="top"/>
    </xf>
    <xf numFmtId="2" fontId="21" fillId="0" borderId="4" xfId="0" applyNumberFormat="1" applyFont="1" applyBorder="1" applyAlignment="1">
      <alignment horizontal="right" vertical="top"/>
    </xf>
    <xf numFmtId="2" fontId="21" fillId="0" borderId="4" xfId="0" applyNumberFormat="1" applyFont="1" applyBorder="1" applyAlignment="1">
      <alignment vertical="top"/>
    </xf>
    <xf numFmtId="0" fontId="21" fillId="0" borderId="4" xfId="0" applyFont="1" applyBorder="1" applyAlignment="1">
      <alignment horizontal="center" vertical="top"/>
    </xf>
    <xf numFmtId="0" fontId="27" fillId="0" borderId="0" xfId="0" applyFont="1" applyAlignment="1">
      <alignment vertical="top"/>
    </xf>
    <xf numFmtId="0" fontId="21" fillId="0" borderId="3" xfId="0" quotePrefix="1" applyFont="1" applyBorder="1" applyAlignment="1">
      <alignment horizontal="center" vertical="top"/>
    </xf>
    <xf numFmtId="0" fontId="21" fillId="0" borderId="2" xfId="0" quotePrefix="1" applyFont="1" applyFill="1" applyBorder="1" applyAlignment="1">
      <alignment horizontal="center" vertical="top"/>
    </xf>
    <xf numFmtId="0" fontId="21" fillId="0" borderId="10" xfId="0" applyFont="1" applyBorder="1" applyAlignment="1">
      <alignment vertical="top" wrapText="1"/>
    </xf>
    <xf numFmtId="3" fontId="21" fillId="0" borderId="2" xfId="0" applyNumberFormat="1" applyFont="1" applyBorder="1" applyAlignment="1">
      <alignment vertical="top" wrapText="1"/>
    </xf>
    <xf numFmtId="41" fontId="21" fillId="0" borderId="2" xfId="1" applyFont="1" applyBorder="1" applyAlignment="1">
      <alignment vertical="top" wrapText="1"/>
    </xf>
    <xf numFmtId="165" fontId="21" fillId="0" borderId="2" xfId="1" applyNumberFormat="1" applyFont="1" applyBorder="1" applyAlignment="1">
      <alignment vertical="top" wrapText="1"/>
    </xf>
    <xf numFmtId="41" fontId="21" fillId="0" borderId="2" xfId="1" applyFont="1" applyBorder="1" applyAlignment="1">
      <alignment horizontal="center" vertical="top" wrapText="1"/>
    </xf>
    <xf numFmtId="165" fontId="21" fillId="0" borderId="2" xfId="1" applyNumberFormat="1" applyFont="1" applyFill="1" applyBorder="1" applyAlignment="1">
      <alignment vertical="top"/>
    </xf>
    <xf numFmtId="41" fontId="21" fillId="0" borderId="2" xfId="0" applyNumberFormat="1" applyFont="1" applyBorder="1" applyAlignment="1">
      <alignment vertical="top" wrapText="1"/>
    </xf>
    <xf numFmtId="166" fontId="21" fillId="0" borderId="2" xfId="1" applyNumberFormat="1" applyFont="1" applyBorder="1" applyAlignment="1">
      <alignment vertical="top" wrapText="1"/>
    </xf>
    <xf numFmtId="41" fontId="21" fillId="0" borderId="3" xfId="1" applyFont="1" applyBorder="1" applyAlignment="1">
      <alignment vertical="top"/>
    </xf>
    <xf numFmtId="166" fontId="21" fillId="0" borderId="3" xfId="1" applyNumberFormat="1" applyFont="1" applyBorder="1" applyAlignment="1">
      <alignment vertical="top"/>
    </xf>
    <xf numFmtId="2" fontId="21" fillId="0" borderId="3" xfId="0" applyNumberFormat="1" applyFont="1" applyBorder="1" applyAlignment="1">
      <alignment horizontal="right" vertical="top"/>
    </xf>
    <xf numFmtId="2" fontId="21" fillId="0" borderId="3" xfId="0" applyNumberFormat="1" applyFont="1" applyBorder="1" applyAlignment="1">
      <alignment vertical="top"/>
    </xf>
    <xf numFmtId="0" fontId="21" fillId="0" borderId="2" xfId="0" applyFont="1" applyBorder="1" applyAlignment="1">
      <alignment horizontal="center" vertical="top"/>
    </xf>
    <xf numFmtId="0" fontId="27" fillId="0" borderId="0" xfId="0" applyFont="1" applyAlignment="1">
      <alignment vertical="top" wrapText="1"/>
    </xf>
    <xf numFmtId="0" fontId="21" fillId="0" borderId="4" xfId="0" quotePrefix="1" applyFont="1" applyFill="1" applyBorder="1" applyAlignment="1">
      <alignment horizontal="center" vertical="top"/>
    </xf>
    <xf numFmtId="3" fontId="21" fillId="0" borderId="4" xfId="0" applyNumberFormat="1" applyFont="1" applyBorder="1" applyAlignment="1">
      <alignment vertical="top" wrapText="1"/>
    </xf>
    <xf numFmtId="41" fontId="21" fillId="0" borderId="4" xfId="1" applyFont="1" applyBorder="1" applyAlignment="1">
      <alignment vertical="top" wrapText="1"/>
    </xf>
    <xf numFmtId="41" fontId="21" fillId="0" borderId="4" xfId="1" applyFont="1" applyBorder="1" applyAlignment="1">
      <alignment horizontal="center" vertical="top" wrapText="1"/>
    </xf>
    <xf numFmtId="165" fontId="21" fillId="0" borderId="4" xfId="1" applyNumberFormat="1" applyFont="1" applyFill="1" applyBorder="1" applyAlignment="1">
      <alignment vertical="top"/>
    </xf>
    <xf numFmtId="41" fontId="21" fillId="0" borderId="4" xfId="0" applyNumberFormat="1" applyFont="1" applyBorder="1" applyAlignment="1">
      <alignment vertical="top" wrapText="1"/>
    </xf>
    <xf numFmtId="166" fontId="21" fillId="0" borderId="4" xfId="1" applyNumberFormat="1" applyFont="1" applyBorder="1" applyAlignment="1">
      <alignment vertical="top" wrapText="1"/>
    </xf>
    <xf numFmtId="0" fontId="27" fillId="0" borderId="0" xfId="0" applyFont="1" applyBorder="1" applyAlignment="1">
      <alignment vertical="top" wrapText="1"/>
    </xf>
    <xf numFmtId="0" fontId="21" fillId="0" borderId="1" xfId="0" applyFont="1" applyBorder="1" applyAlignment="1">
      <alignment vertical="top"/>
    </xf>
    <xf numFmtId="0" fontId="21" fillId="0" borderId="12" xfId="0" applyFont="1" applyBorder="1" applyAlignment="1">
      <alignment vertical="top" wrapText="1"/>
    </xf>
    <xf numFmtId="3" fontId="21" fillId="0" borderId="1" xfId="0" applyNumberFormat="1" applyFont="1" applyBorder="1" applyAlignment="1">
      <alignment vertical="top" wrapText="1"/>
    </xf>
    <xf numFmtId="41" fontId="21" fillId="0" borderId="1" xfId="1" applyFont="1" applyBorder="1" applyAlignment="1">
      <alignment vertical="top" wrapText="1"/>
    </xf>
    <xf numFmtId="165" fontId="21" fillId="0" borderId="1" xfId="1" applyNumberFormat="1" applyFont="1" applyBorder="1" applyAlignment="1">
      <alignment vertical="top" wrapText="1"/>
    </xf>
    <xf numFmtId="41" fontId="21" fillId="0" borderId="1" xfId="1" applyFont="1" applyBorder="1" applyAlignment="1">
      <alignment horizontal="center" vertical="top" wrapText="1"/>
    </xf>
    <xf numFmtId="166" fontId="21" fillId="0" borderId="1" xfId="1" applyNumberFormat="1" applyFont="1" applyBorder="1" applyAlignment="1">
      <alignment vertical="top" wrapText="1"/>
    </xf>
    <xf numFmtId="41" fontId="21" fillId="0" borderId="1" xfId="1" applyFont="1" applyBorder="1" applyAlignment="1">
      <alignment vertical="top"/>
    </xf>
    <xf numFmtId="0" fontId="21" fillId="0" borderId="1" xfId="0" applyFont="1" applyBorder="1" applyAlignment="1">
      <alignment horizontal="center" vertical="top"/>
    </xf>
    <xf numFmtId="166" fontId="21" fillId="0" borderId="1" xfId="1" applyNumberFormat="1" applyFont="1" applyFill="1" applyBorder="1" applyAlignment="1">
      <alignment vertical="top"/>
    </xf>
    <xf numFmtId="0" fontId="21" fillId="0" borderId="2" xfId="0" applyFont="1" applyBorder="1" applyAlignment="1">
      <alignment vertical="top"/>
    </xf>
    <xf numFmtId="41" fontId="21" fillId="0" borderId="2" xfId="1" applyFont="1" applyBorder="1" applyAlignment="1">
      <alignment vertical="top"/>
    </xf>
    <xf numFmtId="165" fontId="21" fillId="0" borderId="4" xfId="1" applyNumberFormat="1" applyFont="1" applyBorder="1" applyAlignment="1">
      <alignment vertical="top" wrapText="1"/>
    </xf>
    <xf numFmtId="0" fontId="27" fillId="0" borderId="0" xfId="0" applyFont="1" applyBorder="1" applyAlignment="1">
      <alignment vertical="top"/>
    </xf>
    <xf numFmtId="41" fontId="21" fillId="0" borderId="1" xfId="0" applyNumberFormat="1" applyFont="1" applyBorder="1" applyAlignment="1">
      <alignment vertical="top" wrapText="1"/>
    </xf>
    <xf numFmtId="0" fontId="21" fillId="0" borderId="2" xfId="0" applyFont="1" applyBorder="1" applyAlignment="1">
      <alignment horizontal="left" vertical="top" wrapText="1"/>
    </xf>
    <xf numFmtId="0" fontId="21" fillId="0" borderId="2" xfId="0" quotePrefix="1" applyFont="1" applyBorder="1" applyAlignment="1">
      <alignment horizontal="center" vertical="top"/>
    </xf>
    <xf numFmtId="0" fontId="17" fillId="0" borderId="12" xfId="0" applyFont="1" applyFill="1" applyBorder="1" applyAlignment="1">
      <alignment vertical="top" wrapText="1"/>
    </xf>
    <xf numFmtId="41" fontId="21" fillId="0" borderId="4" xfId="1" applyFont="1" applyFill="1" applyBorder="1" applyAlignment="1">
      <alignment vertical="top"/>
    </xf>
    <xf numFmtId="166" fontId="21" fillId="0" borderId="4" xfId="1" applyNumberFormat="1" applyFont="1" applyFill="1" applyBorder="1" applyAlignment="1">
      <alignment vertical="top"/>
    </xf>
    <xf numFmtId="41" fontId="21" fillId="0" borderId="3" xfId="1" applyFont="1" applyFill="1" applyBorder="1" applyAlignment="1">
      <alignment vertical="top"/>
    </xf>
    <xf numFmtId="2" fontId="17" fillId="0" borderId="4" xfId="0" applyNumberFormat="1" applyFont="1" applyFill="1" applyBorder="1" applyAlignment="1">
      <alignment horizontal="right" vertical="top"/>
    </xf>
    <xf numFmtId="2" fontId="17" fillId="0" borderId="4" xfId="0" applyNumberFormat="1" applyFont="1" applyFill="1" applyBorder="1" applyAlignment="1">
      <alignment vertical="top"/>
    </xf>
    <xf numFmtId="0" fontId="21" fillId="0" borderId="4" xfId="0" applyFont="1" applyFill="1" applyBorder="1" applyAlignment="1">
      <alignment horizontal="center" vertical="top"/>
    </xf>
    <xf numFmtId="0" fontId="21" fillId="0" borderId="3" xfId="0" applyFont="1" applyFill="1" applyBorder="1" applyAlignment="1">
      <alignment horizontal="center" vertical="top"/>
    </xf>
    <xf numFmtId="0" fontId="21" fillId="0" borderId="8" xfId="0" applyFont="1" applyFill="1" applyBorder="1" applyAlignment="1">
      <alignment vertical="top" wrapText="1"/>
    </xf>
    <xf numFmtId="0" fontId="21" fillId="0" borderId="4" xfId="0" applyFont="1" applyFill="1" applyBorder="1" applyAlignment="1">
      <alignment vertical="top"/>
    </xf>
    <xf numFmtId="41" fontId="21" fillId="0" borderId="4" xfId="1" applyFont="1" applyFill="1" applyBorder="1" applyAlignment="1">
      <alignment horizontal="center" vertical="top"/>
    </xf>
    <xf numFmtId="166" fontId="21" fillId="0" borderId="4" xfId="0" applyNumberFormat="1" applyFont="1" applyFill="1" applyBorder="1" applyAlignment="1">
      <alignment vertical="top"/>
    </xf>
    <xf numFmtId="0" fontId="27" fillId="0" borderId="0" xfId="0" applyFont="1" applyFill="1" applyAlignment="1">
      <alignment vertical="top"/>
    </xf>
    <xf numFmtId="0" fontId="21" fillId="0" borderId="1" xfId="0" applyFont="1" applyFill="1" applyBorder="1" applyAlignment="1">
      <alignment horizontal="center" vertical="top"/>
    </xf>
    <xf numFmtId="0" fontId="21" fillId="0" borderId="12" xfId="0" applyFont="1" applyFill="1" applyBorder="1" applyAlignment="1">
      <alignment vertical="top" wrapText="1"/>
    </xf>
    <xf numFmtId="0" fontId="21" fillId="0" borderId="1" xfId="0" applyFont="1" applyFill="1" applyBorder="1" applyAlignment="1">
      <alignment vertical="top"/>
    </xf>
    <xf numFmtId="41" fontId="21" fillId="0" borderId="1" xfId="1" applyFont="1" applyFill="1" applyBorder="1" applyAlignment="1">
      <alignment vertical="top"/>
    </xf>
    <xf numFmtId="41" fontId="21" fillId="0" borderId="1" xfId="1" applyFont="1" applyFill="1" applyBorder="1" applyAlignment="1">
      <alignment horizontal="center" vertical="top"/>
    </xf>
    <xf numFmtId="166" fontId="21" fillId="0" borderId="1" xfId="0" applyNumberFormat="1" applyFont="1" applyFill="1" applyBorder="1" applyAlignment="1">
      <alignment vertical="top"/>
    </xf>
    <xf numFmtId="41" fontId="17" fillId="0" borderId="4" xfId="1" applyFont="1" applyFill="1" applyBorder="1" applyAlignment="1">
      <alignment vertical="top"/>
    </xf>
    <xf numFmtId="166" fontId="17" fillId="0" borderId="4" xfId="1" applyNumberFormat="1" applyFont="1" applyFill="1" applyBorder="1" applyAlignment="1">
      <alignment vertical="top"/>
    </xf>
    <xf numFmtId="165" fontId="17" fillId="0" borderId="1" xfId="1" applyNumberFormat="1" applyFont="1" applyFill="1" applyBorder="1" applyAlignment="1">
      <alignment vertical="top"/>
    </xf>
    <xf numFmtId="2" fontId="17" fillId="0" borderId="1" xfId="0" applyNumberFormat="1" applyFont="1" applyBorder="1" applyAlignment="1">
      <alignment vertical="top"/>
    </xf>
    <xf numFmtId="0" fontId="21" fillId="3" borderId="1" xfId="0" applyFont="1" applyFill="1" applyBorder="1" applyAlignment="1">
      <alignment horizontal="center" vertical="top"/>
    </xf>
    <xf numFmtId="0" fontId="27" fillId="0" borderId="0" xfId="0" applyFont="1"/>
    <xf numFmtId="0" fontId="17" fillId="0" borderId="1" xfId="0" applyFont="1" applyBorder="1" applyAlignment="1">
      <alignment horizontal="center" vertical="top"/>
    </xf>
    <xf numFmtId="0" fontId="17" fillId="0" borderId="1" xfId="0" applyNumberFormat="1" applyFont="1" applyBorder="1" applyAlignment="1">
      <alignment horizontal="center" vertical="top"/>
    </xf>
    <xf numFmtId="166" fontId="38" fillId="4" borderId="1" xfId="0" applyNumberFormat="1" applyFont="1" applyFill="1" applyBorder="1"/>
    <xf numFmtId="41" fontId="38" fillId="4" borderId="1" xfId="0" applyNumberFormat="1" applyFont="1" applyFill="1" applyBorder="1"/>
    <xf numFmtId="0" fontId="21" fillId="4" borderId="1" xfId="0" applyFont="1" applyFill="1" applyBorder="1"/>
    <xf numFmtId="2" fontId="17" fillId="4" borderId="1" xfId="0" applyNumberFormat="1" applyFont="1" applyFill="1" applyBorder="1"/>
    <xf numFmtId="0" fontId="21" fillId="0" borderId="11" xfId="0" applyFont="1" applyBorder="1"/>
    <xf numFmtId="41" fontId="21" fillId="0" borderId="13" xfId="1" applyFont="1" applyBorder="1" applyAlignment="1">
      <alignment horizontal="center"/>
    </xf>
    <xf numFmtId="0" fontId="21" fillId="0" borderId="12" xfId="0" applyFont="1" applyBorder="1" applyAlignment="1">
      <alignment horizontal="center"/>
    </xf>
    <xf numFmtId="0" fontId="21" fillId="0" borderId="9" xfId="0" applyFont="1" applyBorder="1"/>
    <xf numFmtId="0" fontId="21" fillId="0" borderId="14" xfId="0" applyFont="1" applyBorder="1"/>
    <xf numFmtId="41" fontId="21" fillId="0" borderId="14" xfId="1" applyFont="1" applyBorder="1" applyAlignment="1">
      <alignment horizontal="center"/>
    </xf>
    <xf numFmtId="0" fontId="21" fillId="0" borderId="10" xfId="0" applyFont="1" applyBorder="1" applyAlignment="1">
      <alignment horizontal="center"/>
    </xf>
    <xf numFmtId="0" fontId="21" fillId="0" borderId="7" xfId="0" applyFont="1" applyBorder="1"/>
    <xf numFmtId="0" fontId="21" fillId="0" borderId="15" xfId="0" applyFont="1" applyBorder="1"/>
    <xf numFmtId="41" fontId="21" fillId="0" borderId="15" xfId="1" applyFont="1" applyBorder="1" applyAlignment="1">
      <alignment horizontal="center"/>
    </xf>
    <xf numFmtId="0" fontId="21" fillId="0" borderId="8" xfId="0" applyFont="1" applyBorder="1" applyAlignment="1">
      <alignment horizontal="center"/>
    </xf>
    <xf numFmtId="0" fontId="33" fillId="0" borderId="0" xfId="0" applyFont="1" applyAlignment="1">
      <alignment vertical="top"/>
    </xf>
    <xf numFmtId="0" fontId="31" fillId="9" borderId="0" xfId="0" applyFont="1" applyFill="1"/>
    <xf numFmtId="0" fontId="7" fillId="0" borderId="105" xfId="0" applyFont="1" applyBorder="1" applyAlignment="1">
      <alignment vertical="top" wrapText="1"/>
    </xf>
    <xf numFmtId="164" fontId="15" fillId="0" borderId="4" xfId="0" applyNumberFormat="1" applyFont="1" applyBorder="1" applyAlignment="1">
      <alignment vertical="top"/>
    </xf>
    <xf numFmtId="41" fontId="15" fillId="0" borderId="4" xfId="0" applyNumberFormat="1" applyFont="1" applyBorder="1" applyAlignment="1">
      <alignment vertical="top"/>
    </xf>
    <xf numFmtId="164" fontId="8" fillId="0" borderId="0" xfId="2" applyNumberFormat="1" applyFont="1" applyBorder="1" applyAlignment="1">
      <alignment vertical="top"/>
    </xf>
    <xf numFmtId="164" fontId="8" fillId="0" borderId="107" xfId="2" applyNumberFormat="1" applyFont="1" applyBorder="1" applyAlignment="1">
      <alignment vertical="top" wrapText="1"/>
    </xf>
    <xf numFmtId="9" fontId="7" fillId="9" borderId="110" xfId="3" applyFont="1" applyFill="1" applyBorder="1" applyAlignment="1">
      <alignment horizontal="right" vertical="center"/>
    </xf>
    <xf numFmtId="9" fontId="8" fillId="9" borderId="65" xfId="0" applyNumberFormat="1" applyFont="1" applyFill="1" applyBorder="1" applyAlignment="1">
      <alignment vertical="top" wrapText="1"/>
    </xf>
    <xf numFmtId="41" fontId="15" fillId="0" borderId="6" xfId="0" applyNumberFormat="1" applyFont="1" applyBorder="1" applyAlignment="1">
      <alignment horizontal="center" vertical="top" wrapText="1"/>
    </xf>
    <xf numFmtId="0" fontId="8" fillId="9" borderId="1" xfId="0" quotePrefix="1" applyFont="1" applyFill="1" applyBorder="1" applyAlignment="1">
      <alignment horizontal="left" vertical="top" wrapText="1"/>
    </xf>
    <xf numFmtId="9" fontId="7" fillId="0" borderId="106" xfId="3" applyFont="1" applyFill="1" applyBorder="1" applyAlignment="1">
      <alignment horizontal="right" vertical="top"/>
    </xf>
    <xf numFmtId="164" fontId="7" fillId="0" borderId="106" xfId="1" applyNumberFormat="1" applyFont="1" applyFill="1" applyBorder="1" applyAlignment="1">
      <alignment horizontal="right" vertical="top"/>
    </xf>
    <xf numFmtId="9" fontId="7" fillId="0" borderId="46" xfId="0" applyNumberFormat="1" applyFont="1" applyFill="1" applyBorder="1" applyAlignment="1">
      <alignment horizontal="right" vertical="top"/>
    </xf>
    <xf numFmtId="164" fontId="7" fillId="0" borderId="65" xfId="2" applyNumberFormat="1" applyFont="1" applyBorder="1" applyAlignment="1">
      <alignment vertical="top" wrapText="1"/>
    </xf>
    <xf numFmtId="164" fontId="7" fillId="0" borderId="65" xfId="2" applyNumberFormat="1" applyFont="1" applyBorder="1" applyAlignment="1">
      <alignment horizontal="right" vertical="top" wrapText="1"/>
    </xf>
    <xf numFmtId="178" fontId="7" fillId="0" borderId="65" xfId="0" applyNumberFormat="1" applyFont="1" applyBorder="1" applyAlignment="1">
      <alignment vertical="top" wrapText="1"/>
    </xf>
    <xf numFmtId="164" fontId="7" fillId="0" borderId="65" xfId="0" applyNumberFormat="1" applyFont="1" applyBorder="1" applyAlignment="1">
      <alignment vertical="top" wrapText="1"/>
    </xf>
    <xf numFmtId="2" fontId="7" fillId="0" borderId="65" xfId="0" applyNumberFormat="1" applyFont="1" applyBorder="1" applyAlignment="1">
      <alignment vertical="top" wrapText="1"/>
    </xf>
    <xf numFmtId="178" fontId="7" fillId="0" borderId="65" xfId="3" applyNumberFormat="1" applyFont="1" applyBorder="1" applyAlignment="1">
      <alignment vertical="top" wrapText="1"/>
    </xf>
    <xf numFmtId="0" fontId="7" fillId="0" borderId="61" xfId="0" applyFont="1" applyFill="1" applyBorder="1" applyAlignment="1">
      <alignment horizontal="left" vertical="top" wrapText="1"/>
    </xf>
    <xf numFmtId="0" fontId="8" fillId="0" borderId="65" xfId="0" quotePrefix="1" applyFont="1" applyBorder="1" applyAlignment="1">
      <alignment vertical="top" wrapText="1"/>
    </xf>
    <xf numFmtId="0" fontId="15" fillId="0" borderId="84" xfId="0" applyFont="1" applyBorder="1" applyAlignment="1">
      <alignment vertical="top" wrapText="1"/>
    </xf>
    <xf numFmtId="178" fontId="8" fillId="0" borderId="65" xfId="0" applyNumberFormat="1" applyFont="1" applyBorder="1" applyAlignment="1">
      <alignment vertical="top" wrapText="1"/>
    </xf>
    <xf numFmtId="2" fontId="8" fillId="0" borderId="65" xfId="0" applyNumberFormat="1" applyFont="1" applyBorder="1" applyAlignment="1">
      <alignment vertical="top" wrapText="1"/>
    </xf>
    <xf numFmtId="164" fontId="8" fillId="0" borderId="65" xfId="0" applyNumberFormat="1" applyFont="1" applyBorder="1" applyAlignment="1">
      <alignment vertical="top" wrapText="1"/>
    </xf>
    <xf numFmtId="9" fontId="8" fillId="0" borderId="65" xfId="3" applyFont="1" applyBorder="1" applyAlignment="1">
      <alignment vertical="top" wrapText="1"/>
    </xf>
    <xf numFmtId="178" fontId="8" fillId="0" borderId="65" xfId="3" applyNumberFormat="1" applyFont="1" applyBorder="1" applyAlignment="1">
      <alignment vertical="top" wrapText="1"/>
    </xf>
    <xf numFmtId="0" fontId="8" fillId="9" borderId="1" xfId="0" applyFont="1" applyFill="1" applyBorder="1" applyAlignment="1">
      <alignment horizontal="left" vertical="center" wrapText="1"/>
    </xf>
    <xf numFmtId="178" fontId="8" fillId="0" borderId="65" xfId="2" applyNumberFormat="1" applyFont="1" applyBorder="1" applyAlignment="1">
      <alignment vertical="top" wrapText="1"/>
    </xf>
    <xf numFmtId="9" fontId="8" fillId="0" borderId="65" xfId="2" applyNumberFormat="1" applyFont="1" applyBorder="1" applyAlignment="1">
      <alignment vertical="top" wrapText="1"/>
    </xf>
    <xf numFmtId="0" fontId="23" fillId="0" borderId="105" xfId="0" applyFont="1" applyBorder="1" applyAlignment="1">
      <alignment vertical="top" wrapText="1"/>
    </xf>
    <xf numFmtId="9" fontId="7" fillId="0" borderId="54" xfId="0" applyNumberFormat="1" applyFont="1" applyBorder="1" applyAlignment="1">
      <alignment vertical="top" wrapText="1"/>
    </xf>
    <xf numFmtId="9" fontId="7" fillId="0" borderId="65" xfId="3" applyFont="1" applyBorder="1" applyAlignment="1">
      <alignment vertical="top" wrapText="1"/>
    </xf>
    <xf numFmtId="0" fontId="8" fillId="0" borderId="107" xfId="0" applyFont="1" applyBorder="1" applyAlignment="1">
      <alignment vertical="top" wrapText="1"/>
    </xf>
    <xf numFmtId="9" fontId="8" fillId="0" borderId="54" xfId="0" applyNumberFormat="1" applyFont="1" applyBorder="1" applyAlignment="1">
      <alignment vertical="top" wrapText="1"/>
    </xf>
    <xf numFmtId="0" fontId="8" fillId="0" borderId="54" xfId="0" applyFont="1" applyBorder="1" applyAlignment="1">
      <alignment vertical="top" wrapText="1"/>
    </xf>
    <xf numFmtId="43" fontId="8" fillId="0" borderId="65" xfId="0" applyNumberFormat="1" applyFont="1" applyBorder="1" applyAlignment="1">
      <alignment vertical="top" wrapText="1"/>
    </xf>
    <xf numFmtId="164" fontId="7" fillId="0" borderId="65" xfId="0" applyNumberFormat="1" applyFont="1" applyBorder="1" applyAlignment="1">
      <alignment horizontal="right" vertical="top" wrapText="1"/>
    </xf>
    <xf numFmtId="9" fontId="8" fillId="0" borderId="46" xfId="0" applyNumberFormat="1" applyFont="1" applyFill="1" applyBorder="1" applyAlignment="1">
      <alignment horizontal="right" vertical="top"/>
    </xf>
    <xf numFmtId="164" fontId="8" fillId="0" borderId="65" xfId="2" applyNumberFormat="1" applyFont="1" applyBorder="1" applyAlignment="1">
      <alignment horizontal="right" vertical="top" wrapText="1"/>
    </xf>
    <xf numFmtId="0" fontId="23" fillId="9" borderId="105" xfId="0" applyFont="1" applyFill="1" applyBorder="1" applyAlignment="1">
      <alignment vertical="top" wrapText="1"/>
    </xf>
    <xf numFmtId="0" fontId="21" fillId="0" borderId="108" xfId="0" applyFont="1" applyBorder="1" applyAlignment="1">
      <alignment vertical="top" wrapText="1"/>
    </xf>
    <xf numFmtId="9" fontId="7" fillId="9" borderId="109" xfId="3" applyFont="1" applyFill="1" applyBorder="1" applyAlignment="1">
      <alignment horizontal="right" vertical="center"/>
    </xf>
    <xf numFmtId="164" fontId="7" fillId="9" borderId="109" xfId="1" applyNumberFormat="1" applyFont="1" applyFill="1" applyBorder="1" applyAlignment="1">
      <alignment horizontal="right" vertical="center"/>
    </xf>
    <xf numFmtId="164" fontId="7" fillId="9" borderId="65" xfId="2" applyNumberFormat="1" applyFont="1" applyFill="1" applyBorder="1" applyAlignment="1">
      <alignment horizontal="right" vertical="center" wrapText="1"/>
    </xf>
    <xf numFmtId="9" fontId="7" fillId="9" borderId="46" xfId="0" applyNumberFormat="1" applyFont="1" applyFill="1" applyBorder="1" applyAlignment="1">
      <alignment horizontal="right" vertical="center"/>
    </xf>
    <xf numFmtId="178" fontId="7" fillId="0" borderId="65" xfId="3" applyNumberFormat="1" applyFont="1" applyBorder="1" applyAlignment="1">
      <alignment horizontal="center" vertical="center" wrapText="1"/>
    </xf>
    <xf numFmtId="164" fontId="7" fillId="0" borderId="65" xfId="2" applyNumberFormat="1" applyFont="1" applyBorder="1" applyAlignment="1">
      <alignment horizontal="center" vertical="center" wrapText="1"/>
    </xf>
    <xf numFmtId="0" fontId="7" fillId="0" borderId="65" xfId="0" applyFont="1" applyBorder="1" applyAlignment="1">
      <alignment horizontal="center" vertical="center" wrapText="1"/>
    </xf>
    <xf numFmtId="164" fontId="7" fillId="0" borderId="65" xfId="0" applyNumberFormat="1" applyFont="1" applyBorder="1" applyAlignment="1">
      <alignment horizontal="center" vertical="center" wrapText="1"/>
    </xf>
    <xf numFmtId="178" fontId="7" fillId="0" borderId="65" xfId="0" applyNumberFormat="1" applyFont="1" applyBorder="1" applyAlignment="1">
      <alignment vertical="center" wrapText="1"/>
    </xf>
    <xf numFmtId="9" fontId="7" fillId="0" borderId="65" xfId="3" applyFont="1" applyBorder="1" applyAlignment="1">
      <alignment horizontal="center" vertical="center" wrapText="1"/>
    </xf>
    <xf numFmtId="9" fontId="7" fillId="0" borderId="65" xfId="3" applyFont="1" applyBorder="1" applyAlignment="1">
      <alignment horizontal="right" vertical="center" wrapText="1"/>
    </xf>
    <xf numFmtId="0" fontId="7" fillId="0" borderId="61" xfId="0" applyFont="1" applyFill="1" applyBorder="1" applyAlignment="1">
      <alignment horizontal="center" vertical="center" wrapText="1"/>
    </xf>
    <xf numFmtId="0" fontId="15" fillId="9" borderId="84" xfId="0" applyFont="1" applyFill="1" applyBorder="1" applyAlignment="1">
      <alignment vertical="top" wrapText="1"/>
    </xf>
    <xf numFmtId="164" fontId="8" fillId="9" borderId="65" xfId="2" applyNumberFormat="1" applyFont="1" applyFill="1" applyBorder="1" applyAlignment="1">
      <alignment vertical="top" wrapText="1"/>
    </xf>
    <xf numFmtId="9" fontId="8" fillId="9" borderId="65" xfId="3" applyFont="1" applyFill="1" applyBorder="1" applyAlignment="1">
      <alignment vertical="top" wrapText="1"/>
    </xf>
    <xf numFmtId="178" fontId="8" fillId="0" borderId="65" xfId="0" applyNumberFormat="1" applyFont="1" applyBorder="1" applyAlignment="1">
      <alignment horizontal="center" vertical="top" wrapText="1"/>
    </xf>
    <xf numFmtId="0" fontId="8" fillId="0" borderId="65" xfId="0" applyFont="1" applyBorder="1" applyAlignment="1">
      <alignment horizontal="center" vertical="top" wrapText="1"/>
    </xf>
    <xf numFmtId="9" fontId="8" fillId="0" borderId="65" xfId="3" applyFont="1" applyBorder="1" applyAlignment="1">
      <alignment horizontal="right" vertical="top" wrapText="1"/>
    </xf>
    <xf numFmtId="178" fontId="8" fillId="0" borderId="65" xfId="3" applyNumberFormat="1" applyFont="1" applyBorder="1" applyAlignment="1">
      <alignment horizontal="center" vertical="top" wrapText="1"/>
    </xf>
    <xf numFmtId="164" fontId="8" fillId="0" borderId="65" xfId="2" applyNumberFormat="1" applyFont="1" applyBorder="1" applyAlignment="1">
      <alignment horizontal="center" vertical="top" wrapText="1"/>
    </xf>
    <xf numFmtId="178" fontId="8" fillId="0" borderId="65" xfId="0" applyNumberFormat="1" applyFont="1" applyBorder="1" applyAlignment="1">
      <alignment vertical="center" wrapText="1"/>
    </xf>
    <xf numFmtId="178" fontId="8" fillId="0" borderId="0" xfId="0" applyNumberFormat="1" applyFont="1" applyAlignment="1">
      <alignment horizontal="center" vertical="top"/>
    </xf>
    <xf numFmtId="164" fontId="8" fillId="0" borderId="111" xfId="2" applyNumberFormat="1" applyFont="1" applyBorder="1" applyAlignment="1">
      <alignment horizontal="center" vertical="top"/>
    </xf>
    <xf numFmtId="0" fontId="15" fillId="9" borderId="84" xfId="0" applyFont="1" applyFill="1" applyBorder="1" applyAlignment="1">
      <alignment horizontal="left" vertical="top" wrapText="1" indent="4"/>
    </xf>
    <xf numFmtId="9" fontId="8" fillId="0" borderId="65" xfId="3" applyFont="1" applyBorder="1" applyAlignment="1">
      <alignment horizontal="right" vertical="center" wrapText="1"/>
    </xf>
    <xf numFmtId="0" fontId="23" fillId="9" borderId="105" xfId="0" applyFont="1" applyFill="1" applyBorder="1" applyAlignment="1">
      <alignment horizontal="left" vertical="top" wrapText="1"/>
    </xf>
    <xf numFmtId="9" fontId="7" fillId="9" borderId="65" xfId="3" applyFont="1" applyFill="1" applyBorder="1" applyAlignment="1">
      <alignment horizontal="center" vertical="center" wrapText="1"/>
    </xf>
    <xf numFmtId="164" fontId="7" fillId="9" borderId="65" xfId="2" applyNumberFormat="1" applyFont="1" applyFill="1" applyBorder="1" applyAlignment="1">
      <alignment vertical="center" wrapText="1"/>
    </xf>
    <xf numFmtId="9" fontId="7" fillId="9" borderId="111" xfId="0" applyNumberFormat="1" applyFont="1" applyFill="1" applyBorder="1" applyAlignment="1">
      <alignment horizontal="right" vertical="center"/>
    </xf>
    <xf numFmtId="164" fontId="7" fillId="0" borderId="65" xfId="0" applyNumberFormat="1" applyFont="1" applyBorder="1" applyAlignment="1">
      <alignment vertical="center" wrapText="1"/>
    </xf>
    <xf numFmtId="0" fontId="7" fillId="0" borderId="65" xfId="0" applyFont="1" applyBorder="1" applyAlignment="1">
      <alignment vertical="center" wrapText="1"/>
    </xf>
    <xf numFmtId="164" fontId="7" fillId="0" borderId="65" xfId="2" applyNumberFormat="1" applyFont="1" applyBorder="1" applyAlignment="1">
      <alignment vertical="center" wrapText="1"/>
    </xf>
    <xf numFmtId="178" fontId="7" fillId="0" borderId="65" xfId="3" applyNumberFormat="1" applyFont="1" applyBorder="1" applyAlignment="1">
      <alignment vertical="center" wrapText="1"/>
    </xf>
    <xf numFmtId="9" fontId="8" fillId="9" borderId="111" xfId="0" applyNumberFormat="1" applyFont="1" applyFill="1" applyBorder="1" applyAlignment="1">
      <alignment horizontal="right" vertical="top"/>
    </xf>
    <xf numFmtId="178" fontId="8" fillId="0" borderId="65" xfId="3" applyNumberFormat="1" applyFont="1" applyBorder="1" applyAlignment="1">
      <alignment horizontal="right" vertical="top" wrapText="1"/>
    </xf>
    <xf numFmtId="9" fontId="8" fillId="0" borderId="65" xfId="3" applyFont="1" applyBorder="1" applyAlignment="1">
      <alignment horizontal="center" vertical="top" wrapText="1"/>
    </xf>
    <xf numFmtId="43" fontId="8" fillId="9" borderId="65" xfId="2" applyFont="1" applyFill="1" applyBorder="1" applyAlignment="1">
      <alignment vertical="top" wrapText="1"/>
    </xf>
    <xf numFmtId="178" fontId="8" fillId="9" borderId="65" xfId="3" applyNumberFormat="1" applyFont="1" applyFill="1" applyBorder="1" applyAlignment="1">
      <alignment vertical="top" wrapText="1"/>
    </xf>
    <xf numFmtId="2" fontId="8" fillId="9" borderId="65" xfId="0" applyNumberFormat="1" applyFont="1" applyFill="1" applyBorder="1" applyAlignment="1">
      <alignment vertical="top" wrapText="1"/>
    </xf>
    <xf numFmtId="164" fontId="8" fillId="9" borderId="65" xfId="0" applyNumberFormat="1" applyFont="1" applyFill="1" applyBorder="1" applyAlignment="1">
      <alignment vertical="top" wrapText="1"/>
    </xf>
    <xf numFmtId="0" fontId="21" fillId="0" borderId="108" xfId="0" applyFont="1" applyBorder="1" applyAlignment="1">
      <alignment horizontal="justify" vertical="top" wrapText="1"/>
    </xf>
    <xf numFmtId="9" fontId="7" fillId="9" borderId="65" xfId="3" applyFont="1" applyFill="1" applyBorder="1" applyAlignment="1">
      <alignment horizontal="right" vertical="center"/>
    </xf>
    <xf numFmtId="164" fontId="7" fillId="9" borderId="65" xfId="1" applyNumberFormat="1" applyFont="1" applyFill="1" applyBorder="1" applyAlignment="1">
      <alignment horizontal="right" vertical="center"/>
    </xf>
    <xf numFmtId="9" fontId="7" fillId="9" borderId="65" xfId="0" applyNumberFormat="1" applyFont="1" applyFill="1" applyBorder="1" applyAlignment="1">
      <alignment horizontal="right" vertical="center"/>
    </xf>
    <xf numFmtId="9" fontId="7" fillId="0" borderId="65" xfId="3" applyFont="1" applyBorder="1" applyAlignment="1">
      <alignment vertical="center" wrapText="1"/>
    </xf>
    <xf numFmtId="0" fontId="7" fillId="0" borderId="61" xfId="0" applyFont="1" applyFill="1" applyBorder="1" applyAlignment="1">
      <alignment vertical="center" wrapText="1"/>
    </xf>
    <xf numFmtId="0" fontId="15" fillId="9" borderId="58" xfId="0" applyFont="1" applyFill="1" applyBorder="1" applyAlignment="1">
      <alignment horizontal="left" vertical="top" wrapText="1"/>
    </xf>
    <xf numFmtId="9" fontId="8" fillId="9" borderId="65" xfId="0" applyNumberFormat="1" applyFont="1" applyFill="1" applyBorder="1" applyAlignment="1">
      <alignment horizontal="right" vertical="center"/>
    </xf>
    <xf numFmtId="0" fontId="8" fillId="9" borderId="65" xfId="0" quotePrefix="1" applyFont="1" applyFill="1" applyBorder="1" applyAlignment="1">
      <alignment vertical="top" wrapText="1"/>
    </xf>
    <xf numFmtId="9" fontId="8" fillId="9" borderId="65" xfId="0" applyNumberFormat="1" applyFont="1" applyFill="1" applyBorder="1" applyAlignment="1">
      <alignment horizontal="right" vertical="top"/>
    </xf>
    <xf numFmtId="41" fontId="23" fillId="0" borderId="6" xfId="0" applyNumberFormat="1" applyFont="1" applyBorder="1" applyAlignment="1">
      <alignment horizontal="center" vertical="center" wrapText="1"/>
    </xf>
    <xf numFmtId="0" fontId="7" fillId="9" borderId="65" xfId="0" applyFont="1" applyFill="1" applyBorder="1" applyAlignment="1">
      <alignment horizontal="right" vertical="center" wrapText="1"/>
    </xf>
    <xf numFmtId="178" fontId="7" fillId="0" borderId="65" xfId="0" applyNumberFormat="1" applyFont="1" applyBorder="1" applyAlignment="1">
      <alignment horizontal="right" vertical="center" wrapText="1"/>
    </xf>
    <xf numFmtId="164" fontId="7" fillId="0" borderId="65" xfId="0" applyNumberFormat="1" applyFont="1" applyBorder="1" applyAlignment="1">
      <alignment horizontal="right" vertical="center" wrapText="1"/>
    </xf>
    <xf numFmtId="0" fontId="7" fillId="0" borderId="65" xfId="0" applyFont="1" applyBorder="1" applyAlignment="1">
      <alignment horizontal="right" vertical="center" wrapText="1"/>
    </xf>
    <xf numFmtId="164" fontId="7" fillId="0" borderId="65" xfId="2" applyNumberFormat="1" applyFont="1" applyBorder="1" applyAlignment="1">
      <alignment horizontal="right" vertical="center" wrapText="1"/>
    </xf>
    <xf numFmtId="0" fontId="7" fillId="0" borderId="61" xfId="0" applyFont="1" applyFill="1" applyBorder="1" applyAlignment="1">
      <alignment horizontal="left" vertical="center" wrapText="1"/>
    </xf>
    <xf numFmtId="178" fontId="8" fillId="9" borderId="65" xfId="0" applyNumberFormat="1" applyFont="1" applyFill="1" applyBorder="1" applyAlignment="1">
      <alignment vertical="top" wrapText="1"/>
    </xf>
    <xf numFmtId="0" fontId="8" fillId="9" borderId="56" xfId="0" applyFont="1" applyFill="1" applyBorder="1" applyAlignment="1">
      <alignment vertical="top" wrapText="1"/>
    </xf>
    <xf numFmtId="9" fontId="8" fillId="0" borderId="65" xfId="3" applyFont="1" applyBorder="1" applyAlignment="1">
      <alignment horizontal="center" vertical="center" wrapText="1"/>
    </xf>
    <xf numFmtId="0" fontId="21" fillId="0" borderId="112" xfId="0" applyFont="1" applyBorder="1" applyAlignment="1">
      <alignment vertical="top" wrapText="1"/>
    </xf>
    <xf numFmtId="9" fontId="7" fillId="9" borderId="65" xfId="3" applyFont="1" applyFill="1" applyBorder="1" applyAlignment="1">
      <alignment horizontal="right" vertical="center" wrapText="1"/>
    </xf>
    <xf numFmtId="9" fontId="7" fillId="9" borderId="111" xfId="3" applyFont="1" applyFill="1" applyBorder="1" applyAlignment="1">
      <alignment horizontal="right" vertical="center"/>
    </xf>
    <xf numFmtId="0" fontId="8" fillId="9" borderId="79" xfId="0" applyFont="1" applyFill="1" applyBorder="1" applyAlignment="1">
      <alignment vertical="top" wrapText="1"/>
    </xf>
    <xf numFmtId="9" fontId="8" fillId="9" borderId="111" xfId="3" applyFont="1" applyFill="1" applyBorder="1" applyAlignment="1">
      <alignment horizontal="right" vertical="top"/>
    </xf>
    <xf numFmtId="9" fontId="8" fillId="0" borderId="0" xfId="3" applyFont="1"/>
    <xf numFmtId="0" fontId="23" fillId="0" borderId="65" xfId="0" applyFont="1" applyBorder="1" applyAlignment="1">
      <alignment vertical="top" wrapText="1"/>
    </xf>
    <xf numFmtId="2" fontId="7" fillId="0" borderId="65" xfId="0" applyNumberFormat="1" applyFont="1" applyBorder="1" applyAlignment="1">
      <alignment vertical="center" wrapText="1"/>
    </xf>
    <xf numFmtId="178" fontId="8" fillId="0" borderId="65" xfId="3" applyNumberFormat="1" applyFont="1" applyBorder="1" applyAlignment="1">
      <alignment horizontal="center" vertical="center" wrapText="1"/>
    </xf>
    <xf numFmtId="0" fontId="8" fillId="0" borderId="65" xfId="0" quotePrefix="1" applyFont="1" applyBorder="1" applyAlignment="1">
      <alignment horizontal="right" vertical="top" wrapText="1"/>
    </xf>
    <xf numFmtId="0" fontId="15" fillId="9" borderId="65" xfId="0" applyFont="1" applyFill="1" applyBorder="1" applyAlignment="1">
      <alignment horizontal="left" vertical="top" wrapText="1"/>
    </xf>
    <xf numFmtId="9" fontId="7" fillId="9" borderId="65" xfId="3" applyFont="1" applyFill="1" applyBorder="1" applyAlignment="1">
      <alignment vertical="center" wrapText="1"/>
    </xf>
    <xf numFmtId="9" fontId="7" fillId="0" borderId="65" xfId="3" applyFont="1" applyBorder="1" applyAlignment="1">
      <alignment horizontal="center" vertical="top" wrapText="1"/>
    </xf>
    <xf numFmtId="178" fontId="7" fillId="0" borderId="65" xfId="3" applyNumberFormat="1" applyFont="1" applyBorder="1" applyAlignment="1">
      <alignment horizontal="center" vertical="top" wrapText="1"/>
    </xf>
    <xf numFmtId="9" fontId="7" fillId="9" borderId="65" xfId="1" applyNumberFormat="1" applyFont="1" applyFill="1" applyBorder="1" applyAlignment="1">
      <alignment horizontal="right" vertical="center"/>
    </xf>
    <xf numFmtId="0" fontId="21" fillId="0" borderId="68" xfId="0" applyFont="1" applyBorder="1" applyAlignment="1">
      <alignment vertical="top" wrapText="1"/>
    </xf>
    <xf numFmtId="9" fontId="7" fillId="9" borderId="65" xfId="3" applyFont="1" applyFill="1" applyBorder="1" applyAlignment="1">
      <alignment horizontal="right" vertical="top"/>
    </xf>
    <xf numFmtId="164" fontId="7" fillId="9" borderId="65" xfId="1" applyNumberFormat="1" applyFont="1" applyFill="1" applyBorder="1" applyAlignment="1">
      <alignment horizontal="right" vertical="top"/>
    </xf>
    <xf numFmtId="9" fontId="7" fillId="9" borderId="65" xfId="3" applyFont="1" applyFill="1" applyBorder="1" applyAlignment="1">
      <alignment vertical="top" wrapText="1"/>
    </xf>
    <xf numFmtId="164" fontId="7" fillId="9" borderId="65" xfId="2" applyNumberFormat="1" applyFont="1" applyFill="1" applyBorder="1" applyAlignment="1">
      <alignment vertical="top" wrapText="1"/>
    </xf>
    <xf numFmtId="178" fontId="7" fillId="9" borderId="65" xfId="0" applyNumberFormat="1" applyFont="1" applyFill="1" applyBorder="1" applyAlignment="1">
      <alignment horizontal="right" vertical="top"/>
    </xf>
    <xf numFmtId="164" fontId="7" fillId="9" borderId="65" xfId="2" applyNumberFormat="1" applyFont="1" applyFill="1" applyBorder="1" applyAlignment="1">
      <alignment horizontal="right" vertical="top" wrapText="1"/>
    </xf>
    <xf numFmtId="178" fontId="8" fillId="9" borderId="65" xfId="0" applyNumberFormat="1" applyFont="1" applyFill="1" applyBorder="1" applyAlignment="1">
      <alignment horizontal="right" vertical="top"/>
    </xf>
    <xf numFmtId="9" fontId="8" fillId="9" borderId="65" xfId="3" applyNumberFormat="1" applyFont="1" applyFill="1" applyBorder="1" applyAlignment="1">
      <alignment vertical="top" wrapText="1"/>
    </xf>
    <xf numFmtId="0" fontId="7" fillId="9" borderId="105" xfId="0" applyFont="1" applyFill="1" applyBorder="1" applyAlignment="1">
      <alignment vertical="top" wrapText="1"/>
    </xf>
    <xf numFmtId="43" fontId="7" fillId="9" borderId="65" xfId="1" applyNumberFormat="1" applyFont="1" applyFill="1" applyBorder="1" applyAlignment="1">
      <alignment horizontal="right" vertical="top"/>
    </xf>
    <xf numFmtId="164" fontId="7" fillId="9" borderId="65" xfId="0" applyNumberFormat="1" applyFont="1" applyFill="1" applyBorder="1" applyAlignment="1">
      <alignment vertical="top" wrapText="1"/>
    </xf>
    <xf numFmtId="10" fontId="7" fillId="9" borderId="65" xfId="0" applyNumberFormat="1" applyFont="1" applyFill="1" applyBorder="1" applyAlignment="1">
      <alignment horizontal="right" vertical="top"/>
    </xf>
    <xf numFmtId="164" fontId="7" fillId="9" borderId="65" xfId="0" applyNumberFormat="1" applyFont="1" applyFill="1" applyBorder="1" applyAlignment="1">
      <alignment horizontal="right" vertical="top" wrapText="1"/>
    </xf>
    <xf numFmtId="0" fontId="21" fillId="0" borderId="113" xfId="0" applyFont="1" applyBorder="1" applyAlignment="1">
      <alignment vertical="top" wrapText="1"/>
    </xf>
    <xf numFmtId="9" fontId="7" fillId="9" borderId="65" xfId="3" applyNumberFormat="1" applyFont="1" applyFill="1" applyBorder="1" applyAlignment="1">
      <alignment horizontal="right" vertical="center"/>
    </xf>
    <xf numFmtId="164" fontId="7" fillId="9" borderId="65" xfId="0" applyNumberFormat="1" applyFont="1" applyFill="1" applyBorder="1" applyAlignment="1">
      <alignment horizontal="right" vertical="center" wrapText="1"/>
    </xf>
    <xf numFmtId="178" fontId="7" fillId="0" borderId="65" xfId="2" applyNumberFormat="1" applyFont="1" applyBorder="1" applyAlignment="1">
      <alignment horizontal="right" vertical="center" wrapText="1"/>
    </xf>
    <xf numFmtId="0" fontId="8" fillId="9" borderId="65" xfId="0" applyNumberFormat="1" applyFont="1" applyFill="1" applyBorder="1" applyAlignment="1">
      <alignment vertical="top" wrapText="1"/>
    </xf>
    <xf numFmtId="178" fontId="7" fillId="9" borderId="65" xfId="3" applyNumberFormat="1" applyFont="1" applyFill="1" applyBorder="1" applyAlignment="1">
      <alignment horizontal="right" vertical="top"/>
    </xf>
    <xf numFmtId="9" fontId="7" fillId="9" borderId="65" xfId="0" applyNumberFormat="1" applyFont="1" applyFill="1" applyBorder="1" applyAlignment="1">
      <alignment horizontal="right" vertical="top"/>
    </xf>
    <xf numFmtId="0" fontId="15" fillId="9" borderId="84" xfId="0" applyFont="1" applyFill="1" applyBorder="1" applyAlignment="1">
      <alignment horizontal="left" vertical="top" wrapText="1" indent="1"/>
    </xf>
    <xf numFmtId="9" fontId="7" fillId="9" borderId="65" xfId="0" applyNumberFormat="1" applyFont="1" applyFill="1" applyBorder="1" applyAlignment="1">
      <alignment vertical="top" wrapText="1"/>
    </xf>
    <xf numFmtId="178" fontId="7" fillId="9" borderId="65" xfId="3" applyNumberFormat="1" applyFont="1" applyFill="1" applyBorder="1" applyAlignment="1">
      <alignment vertical="top" wrapText="1"/>
    </xf>
    <xf numFmtId="0" fontId="8" fillId="0" borderId="81" xfId="0" applyFont="1" applyBorder="1"/>
    <xf numFmtId="0" fontId="8" fillId="0" borderId="77" xfId="0" applyFont="1" applyBorder="1"/>
    <xf numFmtId="0" fontId="8" fillId="0" borderId="83" xfId="0" applyFont="1" applyBorder="1"/>
    <xf numFmtId="0" fontId="8" fillId="0" borderId="82" xfId="0" applyFont="1" applyBorder="1"/>
    <xf numFmtId="0" fontId="0" fillId="16" borderId="3" xfId="0" applyFill="1" applyBorder="1"/>
    <xf numFmtId="43" fontId="0" fillId="16" borderId="3" xfId="0" applyNumberFormat="1" applyFill="1" applyBorder="1"/>
    <xf numFmtId="0" fontId="0" fillId="16" borderId="3" xfId="0" applyFill="1" applyBorder="1" applyAlignment="1">
      <alignment vertical="top"/>
    </xf>
    <xf numFmtId="0" fontId="0" fillId="0" borderId="1" xfId="0" applyBorder="1"/>
    <xf numFmtId="43" fontId="0" fillId="0" borderId="1" xfId="0" applyNumberFormat="1" applyBorder="1" applyAlignment="1">
      <alignment vertical="top"/>
    </xf>
    <xf numFmtId="0" fontId="0" fillId="16" borderId="1" xfId="0" applyFill="1" applyBorder="1"/>
    <xf numFmtId="43" fontId="0" fillId="16" borderId="1" xfId="0" applyNumberFormat="1" applyFill="1" applyBorder="1"/>
    <xf numFmtId="0" fontId="0" fillId="2" borderId="4" xfId="0" applyFill="1" applyBorder="1" applyAlignment="1">
      <alignment vertical="top"/>
    </xf>
    <xf numFmtId="2" fontId="0" fillId="2" borderId="4" xfId="0" applyNumberFormat="1" applyFill="1" applyBorder="1" applyAlignment="1">
      <alignment vertical="top"/>
    </xf>
    <xf numFmtId="2" fontId="0" fillId="9" borderId="4" xfId="0" applyNumberFormat="1" applyFill="1" applyBorder="1" applyAlignment="1">
      <alignment vertical="top"/>
    </xf>
    <xf numFmtId="43" fontId="0" fillId="0" borderId="1" xfId="0" applyNumberFormat="1" applyBorder="1" applyAlignment="1">
      <alignment vertical="top" wrapText="1"/>
    </xf>
    <xf numFmtId="0" fontId="0" fillId="17" borderId="1" xfId="0" applyFill="1" applyBorder="1" applyAlignment="1">
      <alignment vertical="top"/>
    </xf>
    <xf numFmtId="2" fontId="0" fillId="17" borderId="1" xfId="0" applyNumberFormat="1" applyFill="1" applyBorder="1" applyAlignment="1">
      <alignment vertical="top" wrapText="1"/>
    </xf>
    <xf numFmtId="2" fontId="0" fillId="9" borderId="1" xfId="0" applyNumberFormat="1" applyFill="1" applyBorder="1" applyAlignment="1">
      <alignment vertical="top" wrapText="1"/>
    </xf>
    <xf numFmtId="43" fontId="0" fillId="0" borderId="2" xfId="0" applyNumberFormat="1" applyBorder="1" applyAlignment="1">
      <alignment vertical="top" wrapText="1"/>
    </xf>
    <xf numFmtId="2" fontId="0" fillId="0" borderId="2" xfId="0" applyNumberFormat="1" applyBorder="1" applyAlignment="1">
      <alignment vertical="top" wrapText="1"/>
    </xf>
    <xf numFmtId="0" fontId="0" fillId="2" borderId="2" xfId="0" applyFill="1" applyBorder="1" applyAlignment="1">
      <alignment vertical="top"/>
    </xf>
    <xf numFmtId="2" fontId="0" fillId="17" borderId="2" xfId="0" applyNumberFormat="1" applyFill="1" applyBorder="1" applyAlignment="1">
      <alignment vertical="top" wrapText="1"/>
    </xf>
    <xf numFmtId="2" fontId="0" fillId="0" borderId="4" xfId="0" applyNumberFormat="1" applyBorder="1" applyAlignment="1">
      <alignment vertical="top" wrapText="1"/>
    </xf>
    <xf numFmtId="0" fontId="8" fillId="16" borderId="3" xfId="0" applyFont="1" applyFill="1" applyBorder="1" applyAlignment="1">
      <alignment horizontal="center" vertical="center"/>
    </xf>
    <xf numFmtId="0" fontId="8" fillId="16" borderId="3" xfId="0" applyFont="1" applyFill="1" applyBorder="1"/>
    <xf numFmtId="0" fontId="21" fillId="16" borderId="4" xfId="0" applyFont="1" applyFill="1" applyBorder="1" applyAlignment="1">
      <alignment horizontal="center" vertical="top"/>
    </xf>
    <xf numFmtId="0" fontId="21" fillId="16" borderId="4" xfId="0" quotePrefix="1" applyFont="1" applyFill="1" applyBorder="1" applyAlignment="1">
      <alignment horizontal="center" vertical="top"/>
    </xf>
    <xf numFmtId="0" fontId="21" fillId="16" borderId="1" xfId="0" quotePrefix="1" applyFont="1" applyFill="1" applyBorder="1" applyAlignment="1">
      <alignment horizontal="center" vertical="top"/>
    </xf>
    <xf numFmtId="0" fontId="8" fillId="16" borderId="4" xfId="0" applyFont="1" applyFill="1" applyBorder="1" applyAlignment="1">
      <alignment horizontal="center" vertical="top"/>
    </xf>
    <xf numFmtId="41" fontId="8" fillId="16" borderId="3" xfId="0" applyNumberFormat="1" applyFont="1" applyFill="1" applyBorder="1"/>
    <xf numFmtId="43" fontId="8" fillId="16" borderId="3" xfId="0" applyNumberFormat="1" applyFont="1" applyFill="1" applyBorder="1"/>
    <xf numFmtId="0" fontId="8" fillId="9" borderId="1" xfId="0" applyFont="1" applyFill="1" applyBorder="1" applyAlignment="1">
      <alignment horizontal="center" vertical="center"/>
    </xf>
    <xf numFmtId="0" fontId="8" fillId="9" borderId="2" xfId="0" applyFont="1" applyFill="1" applyBorder="1" applyAlignment="1">
      <alignment vertical="center" wrapText="1"/>
    </xf>
    <xf numFmtId="0" fontId="8" fillId="9" borderId="4" xfId="0" applyFont="1" applyFill="1" applyBorder="1" applyAlignment="1">
      <alignment horizontal="center" vertical="top"/>
    </xf>
    <xf numFmtId="41" fontId="8" fillId="0" borderId="1" xfId="1" applyFont="1" applyBorder="1" applyAlignment="1">
      <alignment vertical="top"/>
    </xf>
    <xf numFmtId="41" fontId="8" fillId="0" borderId="1" xfId="0" applyNumberFormat="1" applyFont="1" applyBorder="1" applyAlignment="1">
      <alignment vertical="top"/>
    </xf>
    <xf numFmtId="43" fontId="8" fillId="0" borderId="1" xfId="0" applyNumberFormat="1" applyFont="1" applyBorder="1" applyAlignment="1">
      <alignment vertical="top"/>
    </xf>
    <xf numFmtId="0" fontId="8" fillId="0" borderId="1" xfId="0" applyFont="1" applyBorder="1"/>
    <xf numFmtId="0" fontId="8" fillId="9" borderId="1" xfId="0" applyFont="1" applyFill="1" applyBorder="1" applyAlignment="1">
      <alignment vertical="center" wrapText="1"/>
    </xf>
    <xf numFmtId="41" fontId="8" fillId="0" borderId="1" xfId="1" applyFont="1" applyBorder="1" applyAlignment="1">
      <alignment horizontal="center" vertical="top"/>
    </xf>
    <xf numFmtId="0" fontId="8" fillId="0" borderId="1" xfId="0" quotePrefix="1" applyFont="1" applyBorder="1" applyAlignment="1">
      <alignment vertical="top"/>
    </xf>
    <xf numFmtId="0" fontId="8" fillId="9" borderId="3" xfId="0" applyFont="1" applyFill="1" applyBorder="1" applyAlignment="1">
      <alignment vertical="center" wrapText="1"/>
    </xf>
    <xf numFmtId="0" fontId="21" fillId="0" borderId="1" xfId="0" applyFont="1" applyBorder="1" applyAlignment="1">
      <alignment vertical="center" wrapText="1"/>
    </xf>
    <xf numFmtId="3" fontId="8" fillId="0" borderId="1" xfId="0" applyNumberFormat="1" applyFont="1" applyBorder="1" applyAlignment="1">
      <alignment vertical="top"/>
    </xf>
    <xf numFmtId="0" fontId="8" fillId="9" borderId="4" xfId="0" applyFont="1" applyFill="1" applyBorder="1" applyAlignment="1">
      <alignment vertical="center" wrapText="1"/>
    </xf>
    <xf numFmtId="0" fontId="8" fillId="16" borderId="1" xfId="0" applyFont="1" applyFill="1" applyBorder="1"/>
    <xf numFmtId="41" fontId="8" fillId="16" borderId="1" xfId="0" applyNumberFormat="1" applyFont="1" applyFill="1" applyBorder="1"/>
    <xf numFmtId="43" fontId="8" fillId="16" borderId="1" xfId="0" applyNumberFormat="1" applyFont="1" applyFill="1" applyBorder="1"/>
    <xf numFmtId="0" fontId="8" fillId="0" borderId="1" xfId="0" applyFont="1" applyBorder="1" applyAlignment="1">
      <alignment horizontal="left" vertical="top" wrapText="1"/>
    </xf>
    <xf numFmtId="0" fontId="8" fillId="2" borderId="4" xfId="0" applyFont="1" applyFill="1" applyBorder="1" applyAlignment="1">
      <alignment horizontal="center" vertical="top"/>
    </xf>
    <xf numFmtId="0" fontId="8" fillId="2" borderId="7" xfId="0" applyFont="1" applyFill="1" applyBorder="1" applyAlignment="1">
      <alignment horizontal="center" vertical="top" wrapText="1"/>
    </xf>
    <xf numFmtId="0" fontId="7" fillId="2" borderId="114" xfId="0" quotePrefix="1" applyFont="1" applyFill="1" applyBorder="1" applyAlignment="1">
      <alignment vertical="top" wrapText="1"/>
    </xf>
    <xf numFmtId="0" fontId="7" fillId="2" borderId="114" xfId="0" applyFont="1" applyFill="1" applyBorder="1" applyAlignment="1">
      <alignment vertical="top" wrapText="1"/>
    </xf>
    <xf numFmtId="0" fontId="8" fillId="2" borderId="6" xfId="0" applyFont="1" applyFill="1" applyBorder="1" applyAlignment="1">
      <alignment horizontal="center" vertical="top"/>
    </xf>
    <xf numFmtId="0" fontId="8" fillId="2" borderId="4" xfId="0" applyFont="1" applyFill="1" applyBorder="1" applyAlignment="1">
      <alignment vertical="top" wrapText="1"/>
    </xf>
    <xf numFmtId="0" fontId="8" fillId="2" borderId="4" xfId="0" applyFont="1" applyFill="1" applyBorder="1" applyAlignment="1">
      <alignment vertical="top"/>
    </xf>
    <xf numFmtId="41" fontId="8" fillId="2" borderId="4" xfId="1" applyFont="1" applyFill="1" applyBorder="1" applyAlignment="1">
      <alignment vertical="top"/>
    </xf>
    <xf numFmtId="41" fontId="8" fillId="2" borderId="4" xfId="0" applyNumberFormat="1" applyFont="1" applyFill="1" applyBorder="1" applyAlignment="1">
      <alignment vertical="top"/>
    </xf>
    <xf numFmtId="0" fontId="8" fillId="0" borderId="4" xfId="0" applyFont="1" applyBorder="1" applyAlignment="1">
      <alignment vertical="top"/>
    </xf>
    <xf numFmtId="0" fontId="8" fillId="0" borderId="1" xfId="0" applyFont="1" applyBorder="1" applyAlignment="1">
      <alignment vertical="center" wrapText="1"/>
    </xf>
    <xf numFmtId="0" fontId="8" fillId="0" borderId="1" xfId="0" quotePrefix="1" applyFont="1" applyBorder="1" applyAlignment="1">
      <alignment horizontal="center" vertical="top"/>
    </xf>
    <xf numFmtId="0" fontId="8" fillId="0" borderId="4" xfId="0" applyFont="1" applyBorder="1" applyAlignment="1">
      <alignment vertical="top" wrapText="1"/>
    </xf>
    <xf numFmtId="0" fontId="8" fillId="0" borderId="3" xfId="0" applyFont="1" applyBorder="1" applyAlignment="1">
      <alignment vertical="center" wrapText="1"/>
    </xf>
    <xf numFmtId="0" fontId="15" fillId="0" borderId="1" xfId="0" applyFont="1" applyBorder="1" applyAlignment="1">
      <alignment horizontal="center" vertical="top" wrapText="1"/>
    </xf>
    <xf numFmtId="41" fontId="15" fillId="0" borderId="11" xfId="1" applyFont="1" applyBorder="1" applyAlignment="1">
      <alignment vertical="top"/>
    </xf>
    <xf numFmtId="43" fontId="8" fillId="0" borderId="115" xfId="0" applyNumberFormat="1" applyFont="1" applyBorder="1" applyAlignment="1">
      <alignment vertical="top" wrapText="1"/>
    </xf>
    <xf numFmtId="41" fontId="8" fillId="0" borderId="115" xfId="0" applyNumberFormat="1" applyFont="1" applyBorder="1" applyAlignment="1">
      <alignment vertical="top" wrapText="1"/>
    </xf>
    <xf numFmtId="0" fontId="8" fillId="0" borderId="8" xfId="0" applyFont="1" applyBorder="1" applyAlignment="1">
      <alignment vertical="top"/>
    </xf>
    <xf numFmtId="41" fontId="8" fillId="0" borderId="4" xfId="0" applyNumberFormat="1" applyFont="1" applyBorder="1" applyAlignment="1">
      <alignment vertical="top"/>
    </xf>
    <xf numFmtId="43" fontId="8" fillId="0" borderId="4" xfId="0" quotePrefix="1" applyNumberFormat="1" applyFont="1" applyBorder="1" applyAlignment="1">
      <alignment vertical="top"/>
    </xf>
    <xf numFmtId="41" fontId="8" fillId="0" borderId="4" xfId="1" applyFont="1" applyBorder="1" applyAlignment="1">
      <alignment vertical="top"/>
    </xf>
    <xf numFmtId="0" fontId="8" fillId="0" borderId="1" xfId="0" applyFont="1" applyBorder="1" applyAlignment="1">
      <alignment wrapText="1"/>
    </xf>
    <xf numFmtId="0" fontId="8" fillId="0" borderId="4" xfId="0" quotePrefix="1" applyFont="1" applyBorder="1" applyAlignment="1">
      <alignment horizontal="center" vertical="top"/>
    </xf>
    <xf numFmtId="0" fontId="15" fillId="0" borderId="6" xfId="0" applyFont="1" applyFill="1" applyBorder="1" applyAlignment="1">
      <alignment vertical="top" wrapText="1"/>
    </xf>
    <xf numFmtId="0" fontId="15" fillId="0" borderId="1" xfId="0" applyNumberFormat="1" applyFont="1" applyBorder="1" applyAlignment="1">
      <alignment horizontal="center" vertical="top" wrapText="1"/>
    </xf>
    <xf numFmtId="0" fontId="8" fillId="0" borderId="12" xfId="0" applyFont="1" applyBorder="1" applyAlignment="1">
      <alignment vertical="top" wrapText="1"/>
    </xf>
    <xf numFmtId="41" fontId="8" fillId="0" borderId="1" xfId="1" applyFont="1" applyBorder="1" applyAlignment="1">
      <alignment vertical="top" wrapText="1"/>
    </xf>
    <xf numFmtId="43" fontId="8" fillId="9" borderId="1" xfId="0" applyNumberFormat="1" applyFont="1" applyFill="1" applyBorder="1" applyAlignment="1">
      <alignment vertical="top" wrapText="1"/>
    </xf>
    <xf numFmtId="43" fontId="8" fillId="0" borderId="1" xfId="0" applyNumberFormat="1" applyFont="1" applyBorder="1" applyAlignment="1">
      <alignment vertical="top" wrapText="1"/>
    </xf>
    <xf numFmtId="0" fontId="15" fillId="0" borderId="3" xfId="0" applyFont="1" applyFill="1" applyBorder="1" applyAlignment="1">
      <alignment horizontal="left" vertical="top" wrapText="1"/>
    </xf>
    <xf numFmtId="0" fontId="8" fillId="0" borderId="115" xfId="0" applyFont="1" applyBorder="1" applyAlignment="1">
      <alignment vertical="top" wrapText="1"/>
    </xf>
    <xf numFmtId="3" fontId="8" fillId="0" borderId="115" xfId="0" applyNumberFormat="1" applyFont="1" applyBorder="1" applyAlignment="1">
      <alignment vertical="top" wrapText="1"/>
    </xf>
    <xf numFmtId="0" fontId="8" fillId="0" borderId="1" xfId="0" applyNumberFormat="1" applyFont="1" applyBorder="1" applyAlignment="1">
      <alignment vertical="top" wrapText="1"/>
    </xf>
    <xf numFmtId="0" fontId="15" fillId="0" borderId="3" xfId="0" applyNumberFormat="1" applyFont="1" applyBorder="1" applyAlignment="1">
      <alignment horizontal="center" vertical="top" wrapText="1"/>
    </xf>
    <xf numFmtId="41" fontId="15" fillId="0" borderId="5" xfId="1" applyFont="1" applyBorder="1" applyAlignment="1">
      <alignment vertical="top"/>
    </xf>
    <xf numFmtId="41" fontId="8" fillId="0" borderId="115" xfId="1" applyFont="1" applyBorder="1" applyAlignment="1">
      <alignment vertical="top" wrapText="1"/>
    </xf>
    <xf numFmtId="41" fontId="15" fillId="0" borderId="1" xfId="1" applyFont="1" applyBorder="1" applyAlignment="1">
      <alignment vertical="top"/>
    </xf>
    <xf numFmtId="0" fontId="8" fillId="17" borderId="1" xfId="0" applyFont="1" applyFill="1" applyBorder="1" applyAlignment="1">
      <alignment vertical="top"/>
    </xf>
    <xf numFmtId="0" fontId="8" fillId="17" borderId="11" xfId="0" applyFont="1" applyFill="1" applyBorder="1" applyAlignment="1">
      <alignment vertical="top" wrapText="1"/>
    </xf>
    <xf numFmtId="0" fontId="7" fillId="17" borderId="116" xfId="0" quotePrefix="1" applyFont="1" applyFill="1" applyBorder="1" applyAlignment="1">
      <alignment vertical="top" wrapText="1"/>
    </xf>
    <xf numFmtId="0" fontId="7" fillId="17" borderId="116" xfId="0" applyFont="1" applyFill="1" applyBorder="1" applyAlignment="1">
      <alignment vertical="top" wrapText="1"/>
    </xf>
    <xf numFmtId="0" fontId="7" fillId="17" borderId="115" xfId="0" applyFont="1" applyFill="1" applyBorder="1" applyAlignment="1">
      <alignment horizontal="left" vertical="center" wrapText="1"/>
    </xf>
    <xf numFmtId="0" fontId="8" fillId="17" borderId="12" xfId="0" applyFont="1" applyFill="1" applyBorder="1" applyAlignment="1">
      <alignment vertical="top" wrapText="1"/>
    </xf>
    <xf numFmtId="41" fontId="8" fillId="17" borderId="1" xfId="1" applyFont="1" applyFill="1" applyBorder="1" applyAlignment="1">
      <alignment vertical="top" wrapText="1"/>
    </xf>
    <xf numFmtId="0" fontId="8" fillId="17" borderId="1" xfId="0" applyFont="1" applyFill="1" applyBorder="1" applyAlignment="1">
      <alignment vertical="top" wrapText="1"/>
    </xf>
    <xf numFmtId="0" fontId="8" fillId="0" borderId="11" xfId="0" applyFont="1" applyBorder="1" applyAlignment="1">
      <alignment vertical="top" wrapText="1"/>
    </xf>
    <xf numFmtId="0" fontId="8" fillId="0" borderId="117" xfId="0" quotePrefix="1" applyFont="1" applyBorder="1" applyAlignment="1">
      <alignment vertical="top" wrapText="1"/>
    </xf>
    <xf numFmtId="0" fontId="8" fillId="9" borderId="117" xfId="0" quotePrefix="1" applyFont="1" applyFill="1" applyBorder="1" applyAlignment="1">
      <alignment vertical="top" wrapText="1"/>
    </xf>
    <xf numFmtId="0" fontId="8" fillId="9" borderId="118" xfId="0" applyFont="1" applyFill="1" applyBorder="1" applyAlignment="1">
      <alignment vertical="top" wrapText="1"/>
    </xf>
    <xf numFmtId="0" fontId="15" fillId="9" borderId="2" xfId="0" applyFont="1" applyFill="1" applyBorder="1" applyAlignment="1">
      <alignment horizontal="left" vertical="top" wrapText="1"/>
    </xf>
    <xf numFmtId="0" fontId="15" fillId="9" borderId="3" xfId="0" applyFont="1" applyFill="1" applyBorder="1" applyAlignment="1">
      <alignment horizontal="left" vertical="top" wrapText="1"/>
    </xf>
    <xf numFmtId="0" fontId="15" fillId="9" borderId="3" xfId="0" applyFont="1" applyFill="1" applyBorder="1" applyAlignment="1">
      <alignment horizontal="center" vertical="top" wrapText="1"/>
    </xf>
    <xf numFmtId="41" fontId="15" fillId="9" borderId="5" xfId="1" applyFont="1" applyFill="1" applyBorder="1" applyAlignment="1">
      <alignment vertical="top"/>
    </xf>
    <xf numFmtId="0" fontId="8" fillId="9" borderId="115" xfId="0" applyFont="1" applyFill="1" applyBorder="1" applyAlignment="1">
      <alignment vertical="top" wrapText="1"/>
    </xf>
    <xf numFmtId="3" fontId="8" fillId="9" borderId="115" xfId="0" applyNumberFormat="1" applyFont="1" applyFill="1" applyBorder="1" applyAlignment="1">
      <alignment vertical="top" wrapText="1"/>
    </xf>
    <xf numFmtId="0" fontId="8" fillId="9" borderId="12" xfId="0" applyFont="1" applyFill="1" applyBorder="1" applyAlignment="1">
      <alignment vertical="top" wrapText="1"/>
    </xf>
    <xf numFmtId="0" fontId="8" fillId="9" borderId="119" xfId="0" quotePrefix="1" applyFont="1" applyFill="1" applyBorder="1" applyAlignment="1">
      <alignment vertical="top" wrapText="1"/>
    </xf>
    <xf numFmtId="0" fontId="15" fillId="9" borderId="1" xfId="0" applyFont="1" applyFill="1" applyBorder="1" applyAlignment="1">
      <alignment horizontal="left" vertical="top" wrapText="1"/>
    </xf>
    <xf numFmtId="0" fontId="15" fillId="9" borderId="1" xfId="0" applyFont="1" applyFill="1" applyBorder="1" applyAlignment="1">
      <alignment horizontal="center" vertical="top" wrapText="1"/>
    </xf>
    <xf numFmtId="41" fontId="15" fillId="9" borderId="11" xfId="1" applyFont="1" applyFill="1" applyBorder="1" applyAlignment="1">
      <alignment vertical="top"/>
    </xf>
    <xf numFmtId="0" fontId="8" fillId="9" borderId="12" xfId="0" applyNumberFormat="1" applyFont="1" applyFill="1" applyBorder="1" applyAlignment="1">
      <alignment vertical="top" wrapText="1"/>
    </xf>
    <xf numFmtId="0" fontId="8" fillId="0" borderId="119" xfId="0" quotePrefix="1" applyFont="1" applyBorder="1" applyAlignment="1">
      <alignment vertical="top" wrapText="1"/>
    </xf>
    <xf numFmtId="0" fontId="15" fillId="9" borderId="7" xfId="0" applyFont="1" applyFill="1" applyBorder="1" applyAlignment="1">
      <alignment vertical="top" wrapText="1"/>
    </xf>
    <xf numFmtId="0" fontId="15" fillId="9" borderId="4" xfId="0" applyFont="1" applyFill="1" applyBorder="1" applyAlignment="1">
      <alignment horizontal="center" vertical="top" wrapText="1"/>
    </xf>
    <xf numFmtId="41" fontId="15" fillId="9" borderId="7" xfId="1" applyFont="1" applyFill="1" applyBorder="1" applyAlignment="1">
      <alignment vertical="top"/>
    </xf>
    <xf numFmtId="0" fontId="8" fillId="9" borderId="120" xfId="0" applyFont="1" applyFill="1" applyBorder="1" applyAlignment="1">
      <alignment vertical="top" wrapText="1"/>
    </xf>
    <xf numFmtId="3" fontId="8" fillId="9" borderId="120" xfId="0" applyNumberFormat="1" applyFont="1" applyFill="1" applyBorder="1" applyAlignment="1">
      <alignment vertical="top" wrapText="1"/>
    </xf>
    <xf numFmtId="0" fontId="8" fillId="9" borderId="121" xfId="0" quotePrefix="1" applyFont="1" applyFill="1" applyBorder="1" applyAlignment="1">
      <alignment vertical="top" wrapText="1"/>
    </xf>
    <xf numFmtId="0" fontId="8" fillId="9" borderId="122" xfId="0" applyFont="1" applyFill="1" applyBorder="1" applyAlignment="1">
      <alignment vertical="top" wrapText="1"/>
    </xf>
    <xf numFmtId="0" fontId="15" fillId="9" borderId="6" xfId="0" applyFont="1" applyFill="1" applyBorder="1" applyAlignment="1">
      <alignment horizontal="left" vertical="top" wrapText="1"/>
    </xf>
    <xf numFmtId="0" fontId="8" fillId="9" borderId="117" xfId="0" applyFont="1" applyFill="1" applyBorder="1" applyAlignment="1">
      <alignment horizontal="center" vertical="top" wrapText="1"/>
    </xf>
    <xf numFmtId="41" fontId="21" fillId="9" borderId="117" xfId="0" applyNumberFormat="1" applyFont="1" applyFill="1" applyBorder="1" applyAlignment="1">
      <alignment horizontal="right" vertical="top"/>
    </xf>
    <xf numFmtId="0" fontId="8" fillId="9" borderId="12" xfId="0" applyFont="1" applyFill="1" applyBorder="1" applyAlignment="1">
      <alignment horizontal="center" vertical="top" wrapText="1"/>
    </xf>
    <xf numFmtId="0" fontId="8" fillId="0" borderId="9" xfId="0" applyFont="1" applyBorder="1" applyAlignment="1">
      <alignment vertical="top" wrapText="1"/>
    </xf>
    <xf numFmtId="0" fontId="8" fillId="0" borderId="120" xfId="0" quotePrefix="1" applyFont="1" applyBorder="1" applyAlignment="1">
      <alignment vertical="top" wrapText="1"/>
    </xf>
    <xf numFmtId="0" fontId="8" fillId="0" borderId="123" xfId="0" quotePrefix="1" applyFont="1" applyBorder="1" applyAlignment="1">
      <alignment vertical="top" wrapText="1"/>
    </xf>
    <xf numFmtId="0" fontId="8" fillId="9" borderId="1" xfId="0" quotePrefix="1" applyFont="1" applyFill="1" applyBorder="1" applyAlignment="1">
      <alignment vertical="top" wrapText="1"/>
    </xf>
    <xf numFmtId="0" fontId="8" fillId="17" borderId="114" xfId="0" quotePrefix="1" applyFont="1" applyFill="1" applyBorder="1" applyAlignment="1">
      <alignment vertical="top" wrapText="1"/>
    </xf>
    <xf numFmtId="0" fontId="8" fillId="17" borderId="1" xfId="0" quotePrefix="1" applyFont="1" applyFill="1" applyBorder="1" applyAlignment="1">
      <alignment vertical="top" wrapText="1"/>
    </xf>
    <xf numFmtId="0" fontId="23" fillId="17" borderId="1" xfId="0" applyFont="1" applyFill="1" applyBorder="1" applyAlignment="1">
      <alignment horizontal="left" vertical="top" wrapText="1"/>
    </xf>
    <xf numFmtId="0" fontId="8" fillId="0" borderId="1" xfId="0" quotePrefix="1" applyFont="1" applyBorder="1" applyAlignment="1">
      <alignment vertical="top" wrapText="1"/>
    </xf>
    <xf numFmtId="0" fontId="15" fillId="0" borderId="6" xfId="0" applyFont="1" applyBorder="1" applyAlignment="1">
      <alignment vertical="top" wrapText="1"/>
    </xf>
    <xf numFmtId="0" fontId="15" fillId="0" borderId="3" xfId="0" applyFont="1" applyBorder="1" applyAlignment="1">
      <alignment horizontal="center" vertical="top" wrapText="1"/>
    </xf>
    <xf numFmtId="0" fontId="21" fillId="0" borderId="11" xfId="0" applyFont="1" applyBorder="1" applyAlignment="1">
      <alignment vertical="top" wrapText="1"/>
    </xf>
    <xf numFmtId="0" fontId="8" fillId="0" borderId="117" xfId="0" applyFont="1" applyBorder="1" applyAlignment="1">
      <alignment vertical="top" wrapText="1"/>
    </xf>
    <xf numFmtId="41" fontId="8" fillId="0" borderId="11" xfId="1" applyFont="1" applyBorder="1" applyAlignment="1">
      <alignment vertical="top" wrapText="1"/>
    </xf>
    <xf numFmtId="39" fontId="8" fillId="0" borderId="115" xfId="0" applyNumberFormat="1" applyFont="1" applyBorder="1" applyAlignment="1">
      <alignment vertical="top" wrapText="1"/>
    </xf>
    <xf numFmtId="0" fontId="17" fillId="17" borderId="11" xfId="0" applyFont="1" applyFill="1" applyBorder="1" applyAlignment="1">
      <alignment vertical="top" wrapText="1"/>
    </xf>
    <xf numFmtId="0" fontId="15" fillId="0" borderId="6" xfId="0" applyFont="1" applyBorder="1" applyAlignment="1">
      <alignment horizontal="left" vertical="top" wrapText="1"/>
    </xf>
    <xf numFmtId="0" fontId="15" fillId="0" borderId="3" xfId="0" applyFont="1" applyBorder="1" applyAlignment="1">
      <alignment horizontal="center" vertical="center" wrapText="1"/>
    </xf>
    <xf numFmtId="41" fontId="15" fillId="0" borderId="5" xfId="1" applyFont="1" applyBorder="1" applyAlignment="1">
      <alignment vertical="top" wrapText="1"/>
    </xf>
    <xf numFmtId="0" fontId="8" fillId="0" borderId="12" xfId="0" applyNumberFormat="1" applyFont="1" applyBorder="1" applyAlignment="1">
      <alignment vertical="top" wrapText="1"/>
    </xf>
    <xf numFmtId="0" fontId="15" fillId="0" borderId="1" xfId="0" applyFont="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center" vertical="center" wrapText="1"/>
    </xf>
    <xf numFmtId="41" fontId="15" fillId="0" borderId="1" xfId="1" applyFont="1" applyBorder="1" applyAlignment="1">
      <alignment vertical="top" wrapText="1"/>
    </xf>
    <xf numFmtId="3" fontId="8" fillId="0" borderId="1" xfId="0" applyNumberFormat="1" applyFont="1" applyBorder="1" applyAlignment="1">
      <alignment vertical="top" wrapText="1"/>
    </xf>
    <xf numFmtId="0" fontId="8" fillId="0" borderId="2" xfId="0" applyFont="1" applyBorder="1" applyAlignment="1">
      <alignment vertical="top"/>
    </xf>
    <xf numFmtId="0" fontId="7" fillId="0" borderId="0" xfId="0" applyFont="1" applyAlignment="1">
      <alignment wrapText="1"/>
    </xf>
    <xf numFmtId="0" fontId="8" fillId="9" borderId="2" xfId="0" quotePrefix="1" applyFont="1" applyFill="1" applyBorder="1" applyAlignment="1">
      <alignment vertical="top" wrapText="1"/>
    </xf>
    <xf numFmtId="0" fontId="15" fillId="0" borderId="4" xfId="0" applyFont="1" applyBorder="1" applyAlignment="1">
      <alignment vertical="top" wrapText="1"/>
    </xf>
    <xf numFmtId="41" fontId="15" fillId="0" borderId="4" xfId="1" applyFont="1" applyBorder="1" applyAlignment="1">
      <alignment vertical="top" wrapText="1"/>
    </xf>
    <xf numFmtId="0" fontId="7" fillId="0" borderId="1" xfId="0" applyFont="1" applyBorder="1" applyAlignment="1">
      <alignment wrapText="1"/>
    </xf>
    <xf numFmtId="0" fontId="8" fillId="0" borderId="2" xfId="0" applyFont="1" applyBorder="1" applyAlignment="1">
      <alignment vertical="top" wrapText="1"/>
    </xf>
    <xf numFmtId="0" fontId="15" fillId="0" borderId="2" xfId="0" applyFont="1" applyBorder="1" applyAlignment="1">
      <alignment horizontal="left" vertical="top" wrapText="1"/>
    </xf>
    <xf numFmtId="0" fontId="15" fillId="0" borderId="2" xfId="0" applyFont="1" applyBorder="1" applyAlignment="1">
      <alignment vertical="top" wrapText="1"/>
    </xf>
    <xf numFmtId="41" fontId="15" fillId="0" borderId="9" xfId="1" applyFont="1" applyBorder="1" applyAlignment="1">
      <alignment vertical="top" wrapText="1"/>
    </xf>
    <xf numFmtId="3" fontId="8" fillId="0" borderId="2" xfId="0" applyNumberFormat="1" applyFont="1" applyBorder="1" applyAlignment="1">
      <alignment vertical="top" wrapText="1"/>
    </xf>
    <xf numFmtId="0" fontId="8" fillId="0" borderId="10" xfId="0" applyNumberFormat="1" applyFont="1" applyBorder="1" applyAlignment="1">
      <alignment vertical="top" wrapText="1"/>
    </xf>
    <xf numFmtId="41" fontId="8" fillId="0" borderId="2" xfId="1" applyFont="1" applyBorder="1" applyAlignment="1">
      <alignment vertical="top" wrapText="1"/>
    </xf>
    <xf numFmtId="43" fontId="8" fillId="0" borderId="2" xfId="0" applyNumberFormat="1" applyFont="1" applyBorder="1" applyAlignment="1">
      <alignment vertical="top" wrapText="1"/>
    </xf>
    <xf numFmtId="0" fontId="7" fillId="17" borderId="1" xfId="0" quotePrefix="1" applyFont="1" applyFill="1" applyBorder="1" applyAlignment="1">
      <alignment vertical="top" wrapText="1"/>
    </xf>
    <xf numFmtId="0" fontId="7" fillId="17" borderId="1" xfId="0" applyFont="1" applyFill="1" applyBorder="1" applyAlignment="1">
      <alignment vertical="top" wrapText="1"/>
    </xf>
    <xf numFmtId="0" fontId="23" fillId="17" borderId="11" xfId="0" applyFont="1" applyFill="1" applyBorder="1" applyAlignment="1">
      <alignment horizontal="left" vertical="top" wrapText="1"/>
    </xf>
    <xf numFmtId="0" fontId="23" fillId="17" borderId="1" xfId="0" applyFont="1" applyFill="1" applyBorder="1" applyAlignment="1">
      <alignment vertical="top" wrapText="1"/>
    </xf>
    <xf numFmtId="41" fontId="15" fillId="0" borderId="5" xfId="1" applyFont="1" applyBorder="1" applyAlignment="1">
      <alignment horizontal="right" vertical="top" wrapText="1"/>
    </xf>
    <xf numFmtId="0" fontId="15" fillId="0" borderId="11" xfId="0" applyFont="1" applyBorder="1" applyAlignment="1">
      <alignment horizontal="left" vertical="top" wrapText="1"/>
    </xf>
    <xf numFmtId="41" fontId="8" fillId="0" borderId="11" xfId="1" quotePrefix="1" applyFont="1" applyBorder="1" applyAlignment="1">
      <alignment vertical="top" wrapText="1"/>
    </xf>
    <xf numFmtId="0" fontId="8" fillId="9" borderId="2" xfId="0" applyFont="1" applyFill="1" applyBorder="1" applyAlignment="1">
      <alignment vertical="top"/>
    </xf>
    <xf numFmtId="0" fontId="8" fillId="9" borderId="0" xfId="0" applyFont="1" applyFill="1" applyAlignment="1">
      <alignment vertical="top" wrapText="1"/>
    </xf>
    <xf numFmtId="0" fontId="7" fillId="0" borderId="2" xfId="0" quotePrefix="1" applyFont="1" applyBorder="1" applyAlignment="1">
      <alignment vertical="top" wrapText="1"/>
    </xf>
    <xf numFmtId="0" fontId="7" fillId="9" borderId="2" xfId="0" quotePrefix="1" applyFont="1" applyFill="1" applyBorder="1" applyAlignment="1">
      <alignment vertical="top" wrapText="1"/>
    </xf>
    <xf numFmtId="0" fontId="8" fillId="17" borderId="2" xfId="0" quotePrefix="1" applyFont="1" applyFill="1" applyBorder="1" applyAlignment="1">
      <alignment vertical="top" wrapText="1"/>
    </xf>
    <xf numFmtId="0" fontId="7" fillId="17" borderId="2" xfId="0" applyFont="1" applyFill="1" applyBorder="1" applyAlignment="1">
      <alignment vertical="top" wrapText="1"/>
    </xf>
    <xf numFmtId="0" fontId="7" fillId="17" borderId="2" xfId="0" applyFont="1" applyFill="1" applyBorder="1" applyAlignment="1">
      <alignment horizontal="left" vertical="center" wrapText="1"/>
    </xf>
    <xf numFmtId="0" fontId="8" fillId="17" borderId="10" xfId="0" applyFont="1" applyFill="1" applyBorder="1" applyAlignment="1">
      <alignment vertical="top" wrapText="1"/>
    </xf>
    <xf numFmtId="41" fontId="8" fillId="17" borderId="2" xfId="1" applyFont="1" applyFill="1" applyBorder="1" applyAlignment="1">
      <alignment vertical="top" wrapText="1"/>
    </xf>
    <xf numFmtId="0" fontId="8" fillId="17" borderId="2" xfId="0" applyFont="1" applyFill="1" applyBorder="1" applyAlignment="1">
      <alignment vertical="top" wrapText="1"/>
    </xf>
    <xf numFmtId="0" fontId="15" fillId="0" borderId="4" xfId="0" applyFont="1" applyBorder="1" applyAlignment="1">
      <alignment horizontal="left" vertical="top" wrapText="1"/>
    </xf>
    <xf numFmtId="0" fontId="15" fillId="0" borderId="4" xfId="0" applyFont="1" applyBorder="1" applyAlignment="1">
      <alignment horizontal="center" vertical="center" wrapText="1"/>
    </xf>
    <xf numFmtId="41" fontId="15" fillId="0" borderId="7" xfId="1" applyFont="1" applyBorder="1" applyAlignment="1">
      <alignment horizontal="right" vertical="top" wrapText="1"/>
    </xf>
    <xf numFmtId="41" fontId="8" fillId="0" borderId="124" xfId="0" applyNumberFormat="1" applyFont="1" applyBorder="1" applyAlignment="1">
      <alignment vertical="top" wrapText="1"/>
    </xf>
    <xf numFmtId="0" fontId="8" fillId="0" borderId="8" xfId="0" applyFont="1" applyBorder="1" applyAlignment="1">
      <alignment vertical="top" wrapText="1"/>
    </xf>
    <xf numFmtId="41" fontId="8" fillId="0" borderId="4" xfId="1" applyFont="1" applyBorder="1" applyAlignment="1">
      <alignment vertical="top" wrapText="1"/>
    </xf>
    <xf numFmtId="43" fontId="8" fillId="0" borderId="4" xfId="0" applyNumberFormat="1" applyFont="1" applyBorder="1" applyAlignment="1">
      <alignment vertical="top" wrapText="1"/>
    </xf>
    <xf numFmtId="0" fontId="8" fillId="0" borderId="2" xfId="0" quotePrefix="1" applyFont="1" applyBorder="1" applyAlignment="1">
      <alignment vertical="top" wrapText="1"/>
    </xf>
    <xf numFmtId="0" fontId="8" fillId="0" borderId="116" xfId="0" applyFont="1" applyBorder="1" applyAlignment="1">
      <alignment vertical="top" wrapText="1"/>
    </xf>
    <xf numFmtId="41" fontId="21" fillId="9" borderId="122" xfId="0" applyNumberFormat="1" applyFont="1" applyFill="1" applyBorder="1" applyAlignment="1">
      <alignment vertical="top"/>
    </xf>
    <xf numFmtId="41" fontId="15" fillId="0" borderId="11" xfId="1" applyFont="1" applyBorder="1" applyAlignment="1">
      <alignment horizontal="right" vertical="top" wrapText="1"/>
    </xf>
    <xf numFmtId="0" fontId="8" fillId="0" borderId="120" xfId="0" applyFont="1" applyBorder="1" applyAlignment="1">
      <alignment vertical="top" wrapText="1"/>
    </xf>
    <xf numFmtId="3" fontId="8" fillId="0" borderId="120" xfId="0" applyNumberFormat="1" applyFont="1" applyBorder="1" applyAlignment="1">
      <alignment vertical="top" wrapText="1"/>
    </xf>
    <xf numFmtId="0" fontId="15" fillId="0" borderId="8" xfId="0" applyFont="1" applyBorder="1" applyAlignment="1">
      <alignment horizontal="left" vertical="top" wrapText="1"/>
    </xf>
    <xf numFmtId="0" fontId="8" fillId="0" borderId="124" xfId="0" applyFont="1" applyBorder="1" applyAlignment="1">
      <alignment vertical="top" wrapText="1"/>
    </xf>
    <xf numFmtId="3" fontId="8" fillId="0" borderId="124" xfId="0" applyNumberFormat="1" applyFont="1" applyBorder="1" applyAlignment="1">
      <alignment vertical="top" wrapText="1"/>
    </xf>
    <xf numFmtId="0" fontId="7" fillId="17" borderId="1" xfId="0" applyFont="1" applyFill="1" applyBorder="1" applyAlignment="1">
      <alignment horizontal="right"/>
    </xf>
    <xf numFmtId="0" fontId="23" fillId="17" borderId="8" xfId="0" applyFont="1" applyFill="1" applyBorder="1" applyAlignment="1">
      <alignment horizontal="left" vertical="top" wrapText="1"/>
    </xf>
    <xf numFmtId="0" fontId="23" fillId="17" borderId="4" xfId="0" applyFont="1" applyFill="1" applyBorder="1" applyAlignment="1">
      <alignment vertical="top" wrapText="1"/>
    </xf>
    <xf numFmtId="0" fontId="15" fillId="0" borderId="12" xfId="0" applyFont="1" applyBorder="1" applyAlignment="1">
      <alignment vertical="top" wrapText="1"/>
    </xf>
    <xf numFmtId="41" fontId="15" fillId="0" borderId="125" xfId="1" applyFont="1" applyBorder="1" applyAlignment="1">
      <alignment horizontal="right" vertical="top" wrapText="1"/>
    </xf>
    <xf numFmtId="0" fontId="8" fillId="18" borderId="1" xfId="0" applyFont="1" applyFill="1" applyBorder="1"/>
    <xf numFmtId="0" fontId="7" fillId="0" borderId="1" xfId="0" applyFont="1" applyFill="1" applyBorder="1" applyAlignment="1">
      <alignment horizontal="right" vertical="top"/>
    </xf>
    <xf numFmtId="0" fontId="8" fillId="0" borderId="89" xfId="0" applyFont="1" applyFill="1" applyBorder="1" applyAlignment="1">
      <alignment horizontal="center" vertical="top" wrapText="1"/>
    </xf>
    <xf numFmtId="3" fontId="8" fillId="0" borderId="89" xfId="0" applyNumberFormat="1" applyFont="1" applyFill="1" applyBorder="1" applyAlignment="1">
      <alignment horizontal="center" vertical="center" wrapText="1"/>
    </xf>
    <xf numFmtId="0" fontId="8" fillId="0" borderId="89" xfId="0" applyNumberFormat="1" applyFont="1" applyFill="1" applyBorder="1" applyAlignment="1">
      <alignment horizontal="center" vertical="center" wrapText="1"/>
    </xf>
    <xf numFmtId="3" fontId="8" fillId="0" borderId="89" xfId="1" applyNumberFormat="1" applyFont="1" applyFill="1" applyBorder="1" applyAlignment="1">
      <alignment horizontal="center" vertical="center" wrapText="1"/>
    </xf>
    <xf numFmtId="0" fontId="8" fillId="0" borderId="89" xfId="0" applyFont="1" applyFill="1" applyBorder="1" applyAlignment="1">
      <alignment horizontal="center" vertical="center" wrapText="1"/>
    </xf>
    <xf numFmtId="0" fontId="7" fillId="0" borderId="89" xfId="0" applyFont="1" applyFill="1" applyBorder="1" applyAlignment="1">
      <alignment horizontal="center" vertical="top" wrapText="1"/>
    </xf>
    <xf numFmtId="164" fontId="7" fillId="0" borderId="89" xfId="0" applyNumberFormat="1" applyFont="1" applyFill="1" applyBorder="1" applyAlignment="1">
      <alignment horizontal="center" vertical="center" wrapText="1"/>
    </xf>
    <xf numFmtId="0" fontId="7" fillId="0" borderId="89" xfId="0" applyFont="1" applyFill="1" applyBorder="1" applyAlignment="1">
      <alignment horizontal="center" vertical="center" wrapText="1"/>
    </xf>
    <xf numFmtId="3" fontId="7" fillId="0" borderId="89" xfId="0" applyNumberFormat="1" applyFont="1" applyFill="1" applyBorder="1" applyAlignment="1">
      <alignment vertical="center" wrapText="1"/>
    </xf>
    <xf numFmtId="0" fontId="7" fillId="0" borderId="89" xfId="0" applyFont="1" applyFill="1" applyBorder="1" applyAlignment="1">
      <alignment vertical="center" wrapText="1"/>
    </xf>
    <xf numFmtId="3" fontId="7" fillId="0" borderId="89" xfId="0" applyNumberFormat="1" applyFont="1" applyFill="1" applyBorder="1" applyAlignment="1">
      <alignment horizontal="center" vertical="center" wrapText="1"/>
    </xf>
    <xf numFmtId="3" fontId="8" fillId="0" borderId="89" xfId="2" applyNumberFormat="1" applyFont="1" applyFill="1" applyBorder="1" applyAlignment="1">
      <alignment horizontal="center" vertical="center" wrapText="1"/>
    </xf>
    <xf numFmtId="0" fontId="8" fillId="0" borderId="89" xfId="3" applyNumberFormat="1" applyFont="1" applyFill="1" applyBorder="1" applyAlignment="1">
      <alignment horizontal="center" vertical="center" wrapText="1"/>
    </xf>
    <xf numFmtId="0" fontId="15" fillId="0" borderId="89" xfId="0" applyFont="1" applyFill="1" applyBorder="1" applyAlignment="1">
      <alignment vertical="center" wrapText="1"/>
    </xf>
    <xf numFmtId="3" fontId="8" fillId="0" borderId="89" xfId="4" applyNumberFormat="1" applyFont="1" applyFill="1" applyBorder="1" applyAlignment="1">
      <alignment horizontal="center" vertical="center" wrapText="1"/>
    </xf>
    <xf numFmtId="0" fontId="15" fillId="0" borderId="89" xfId="0" applyFont="1" applyFill="1" applyBorder="1" applyAlignment="1">
      <alignment horizontal="left" vertical="center" wrapText="1"/>
    </xf>
    <xf numFmtId="3" fontId="8" fillId="9" borderId="89" xfId="1" applyNumberFormat="1" applyFont="1" applyFill="1" applyBorder="1" applyAlignment="1">
      <alignment horizontal="center" vertical="center" wrapText="1"/>
    </xf>
    <xf numFmtId="0" fontId="8" fillId="0" borderId="89" xfId="0" applyFont="1" applyFill="1" applyBorder="1" applyAlignment="1">
      <alignment horizontal="left" vertical="top" wrapText="1"/>
    </xf>
    <xf numFmtId="0" fontId="15" fillId="0" borderId="89" xfId="0" applyFont="1" applyFill="1" applyBorder="1" applyAlignment="1">
      <alignment horizontal="left" vertical="top" wrapText="1"/>
    </xf>
    <xf numFmtId="3" fontId="7" fillId="0" borderId="89" xfId="1" applyNumberFormat="1" applyFont="1" applyFill="1" applyBorder="1" applyAlignment="1">
      <alignment horizontal="center" vertical="center" wrapText="1"/>
    </xf>
    <xf numFmtId="0" fontId="7" fillId="0" borderId="89" xfId="0" applyNumberFormat="1" applyFont="1" applyFill="1" applyBorder="1" applyAlignment="1">
      <alignment horizontal="center" vertical="center" wrapText="1"/>
    </xf>
    <xf numFmtId="0" fontId="21" fillId="0" borderId="89" xfId="0" applyFont="1" applyFill="1" applyBorder="1" applyAlignment="1">
      <alignment horizontal="left" vertical="center" wrapText="1"/>
    </xf>
    <xf numFmtId="0" fontId="8" fillId="0" borderId="89" xfId="1" applyNumberFormat="1" applyFont="1" applyFill="1" applyBorder="1" applyAlignment="1">
      <alignment horizontal="center" vertical="center" wrapText="1"/>
    </xf>
    <xf numFmtId="0" fontId="21" fillId="0" borderId="89" xfId="0" applyFont="1" applyFill="1" applyBorder="1" applyAlignment="1">
      <alignment vertical="center" wrapText="1"/>
    </xf>
    <xf numFmtId="0" fontId="8" fillId="0" borderId="89" xfId="0" applyFont="1" applyFill="1" applyBorder="1" applyAlignment="1">
      <alignment horizontal="left" vertical="center" wrapText="1"/>
    </xf>
    <xf numFmtId="9" fontId="8" fillId="0" borderId="89" xfId="0" applyNumberFormat="1" applyFont="1" applyFill="1" applyBorder="1" applyAlignment="1">
      <alignment horizontal="center" vertical="center" wrapText="1"/>
    </xf>
    <xf numFmtId="9" fontId="8" fillId="0" borderId="89" xfId="3" applyFont="1" applyFill="1" applyBorder="1" applyAlignment="1">
      <alignment horizontal="center" vertical="center" wrapText="1"/>
    </xf>
    <xf numFmtId="0" fontId="7" fillId="0" borderId="1" xfId="0" applyFont="1" applyBorder="1" applyAlignment="1">
      <alignment horizontal="right" vertical="top"/>
    </xf>
    <xf numFmtId="0" fontId="8" fillId="0" borderId="1" xfId="0" applyFont="1" applyBorder="1" applyAlignment="1">
      <alignment horizontal="right" vertical="top"/>
    </xf>
    <xf numFmtId="0" fontId="7" fillId="4" borderId="1" xfId="0" applyFont="1" applyFill="1" applyBorder="1" applyAlignment="1">
      <alignment horizontal="right"/>
    </xf>
    <xf numFmtId="41" fontId="8" fillId="0" borderId="1" xfId="1" applyNumberFormat="1" applyFont="1" applyBorder="1" applyAlignment="1">
      <alignment horizontal="left" vertical="top" wrapText="1"/>
    </xf>
    <xf numFmtId="0" fontId="8" fillId="0" borderId="4" xfId="0" applyFont="1" applyFill="1" applyBorder="1" applyAlignment="1">
      <alignment horizontal="left" vertical="top" wrapText="1"/>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8" fillId="0" borderId="1" xfId="0" applyFont="1" applyFill="1" applyBorder="1" applyAlignment="1">
      <alignment horizontal="center"/>
    </xf>
    <xf numFmtId="0" fontId="8" fillId="0" borderId="1" xfId="0" applyFont="1" applyFill="1" applyBorder="1" applyAlignment="1">
      <alignment horizontal="right" vertical="top"/>
    </xf>
    <xf numFmtId="0" fontId="23" fillId="0" borderId="9" xfId="0" applyFont="1" applyFill="1" applyBorder="1" applyAlignment="1">
      <alignment horizontal="left" vertical="top" wrapText="1"/>
    </xf>
    <xf numFmtId="0" fontId="7" fillId="0" borderId="3"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49" xfId="0" applyFont="1" applyBorder="1" applyAlignment="1">
      <alignment vertical="top" wrapText="1"/>
    </xf>
    <xf numFmtId="0" fontId="8" fillId="0" borderId="2" xfId="0" applyFont="1" applyFill="1" applyBorder="1" applyAlignment="1">
      <alignment horizontal="center" vertical="top"/>
    </xf>
    <xf numFmtId="0" fontId="8" fillId="0" borderId="4" xfId="0" applyFont="1" applyFill="1" applyBorder="1" applyAlignment="1">
      <alignment horizontal="center" vertical="top"/>
    </xf>
    <xf numFmtId="0" fontId="8" fillId="0" borderId="2" xfId="0" quotePrefix="1" applyFont="1" applyFill="1" applyBorder="1" applyAlignment="1">
      <alignment horizontal="center" vertical="top"/>
    </xf>
    <xf numFmtId="0" fontId="8" fillId="0" borderId="4" xfId="0" quotePrefix="1" applyFont="1" applyFill="1" applyBorder="1" applyAlignment="1">
      <alignment horizontal="center" vertical="top"/>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top"/>
    </xf>
    <xf numFmtId="0" fontId="8" fillId="0" borderId="3" xfId="0" quotePrefix="1" applyFont="1" applyFill="1" applyBorder="1" applyAlignment="1">
      <alignment horizontal="center" vertical="top"/>
    </xf>
    <xf numFmtId="0" fontId="8" fillId="0" borderId="1" xfId="0" applyFont="1" applyFill="1" applyBorder="1" applyAlignment="1">
      <alignment horizontal="center" vertical="top"/>
    </xf>
    <xf numFmtId="0" fontId="8" fillId="0" borderId="1" xfId="0" quotePrefix="1" applyFont="1" applyFill="1" applyBorder="1" applyAlignment="1">
      <alignment horizontal="center" vertical="top"/>
    </xf>
    <xf numFmtId="0" fontId="8" fillId="0" borderId="1" xfId="0" applyFont="1" applyFill="1" applyBorder="1" applyAlignment="1">
      <alignment horizontal="left" vertical="top" wrapText="1"/>
    </xf>
    <xf numFmtId="0" fontId="7" fillId="0" borderId="4" xfId="0" applyFont="1" applyFill="1" applyBorder="1" applyAlignment="1">
      <alignment horizontal="center" vertical="top"/>
    </xf>
    <xf numFmtId="2" fontId="8" fillId="0" borderId="3" xfId="0" applyNumberFormat="1" applyFont="1" applyFill="1" applyBorder="1" applyAlignment="1">
      <alignment horizontal="right" vertical="top"/>
    </xf>
    <xf numFmtId="2" fontId="8" fillId="0" borderId="4" xfId="0" applyNumberFormat="1" applyFont="1" applyFill="1" applyBorder="1" applyAlignment="1">
      <alignment horizontal="right" vertical="top"/>
    </xf>
    <xf numFmtId="0" fontId="8" fillId="0" borderId="21" xfId="0" applyFont="1" applyFill="1" applyBorder="1" applyAlignment="1">
      <alignment horizontal="left" vertical="top" wrapText="1"/>
    </xf>
    <xf numFmtId="0" fontId="8" fillId="0" borderId="20" xfId="0" applyFont="1" applyFill="1" applyBorder="1" applyAlignment="1">
      <alignment horizontal="center" vertical="top" wrapText="1"/>
    </xf>
    <xf numFmtId="0" fontId="8" fillId="0" borderId="21" xfId="0" applyFont="1" applyFill="1" applyBorder="1" applyAlignment="1">
      <alignment horizontal="center" vertical="top" wrapText="1"/>
    </xf>
    <xf numFmtId="0" fontId="8" fillId="0" borderId="27" xfId="0" applyFont="1" applyFill="1" applyBorder="1" applyAlignment="1">
      <alignment horizontal="left" vertical="top" wrapText="1"/>
    </xf>
    <xf numFmtId="0" fontId="8" fillId="9" borderId="63" xfId="0" applyFont="1" applyFill="1" applyBorder="1" applyAlignment="1">
      <alignment vertical="top" wrapText="1"/>
    </xf>
    <xf numFmtId="0" fontId="8" fillId="9" borderId="83" xfId="0" applyFont="1" applyFill="1" applyBorder="1" applyAlignment="1">
      <alignment vertical="top" wrapText="1"/>
    </xf>
    <xf numFmtId="0" fontId="7" fillId="9" borderId="1" xfId="0" applyFont="1" applyFill="1" applyBorder="1" applyAlignment="1">
      <alignment horizontal="right"/>
    </xf>
    <xf numFmtId="0" fontId="21" fillId="0" borderId="2" xfId="0" applyFont="1" applyBorder="1" applyAlignment="1">
      <alignment vertical="top" wrapText="1"/>
    </xf>
    <xf numFmtId="0" fontId="21" fillId="0" borderId="4" xfId="0" applyFont="1" applyBorder="1" applyAlignment="1">
      <alignment vertical="top" wrapText="1"/>
    </xf>
    <xf numFmtId="0" fontId="21" fillId="4" borderId="1" xfId="0" applyFont="1" applyFill="1" applyBorder="1" applyAlignment="1">
      <alignment horizontal="center"/>
    </xf>
    <xf numFmtId="0" fontId="0" fillId="4" borderId="1" xfId="0" applyFill="1" applyBorder="1" applyAlignment="1">
      <alignment horizontal="center"/>
    </xf>
    <xf numFmtId="0" fontId="17" fillId="2" borderId="4" xfId="1" applyNumberFormat="1" applyFont="1" applyFill="1" applyBorder="1" applyAlignment="1">
      <alignment horizontal="left" vertical="top" wrapText="1"/>
    </xf>
    <xf numFmtId="0" fontId="7" fillId="4" borderId="1" xfId="0" applyFont="1" applyFill="1" applyBorder="1" applyAlignment="1">
      <alignment horizontal="center" vertical="top"/>
    </xf>
    <xf numFmtId="0" fontId="17" fillId="4" borderId="1" xfId="0" applyFont="1" applyFill="1" applyBorder="1" applyAlignment="1">
      <alignment vertical="top" wrapText="1"/>
    </xf>
    <xf numFmtId="0" fontId="7" fillId="4" borderId="1" xfId="0" quotePrefix="1" applyFont="1" applyFill="1" applyBorder="1" applyAlignment="1">
      <alignment horizontal="left" vertical="top" wrapText="1"/>
    </xf>
    <xf numFmtId="0" fontId="7" fillId="4" borderId="1" xfId="0" quotePrefix="1" applyFont="1" applyFill="1" applyBorder="1" applyAlignment="1">
      <alignment vertical="top" wrapText="1"/>
    </xf>
    <xf numFmtId="0" fontId="7" fillId="4" borderId="1" xfId="0" applyFont="1" applyFill="1" applyBorder="1" applyAlignment="1">
      <alignment vertical="top" wrapText="1"/>
    </xf>
    <xf numFmtId="49" fontId="17" fillId="4" borderId="1" xfId="0" applyNumberFormat="1" applyFont="1" applyFill="1" applyBorder="1" applyAlignment="1">
      <alignment vertical="top" wrapText="1"/>
    </xf>
    <xf numFmtId="0" fontId="7" fillId="4" borderId="1" xfId="0" applyNumberFormat="1" applyFont="1" applyFill="1" applyBorder="1" applyAlignment="1">
      <alignment horizontal="right" vertical="top"/>
    </xf>
    <xf numFmtId="164" fontId="7" fillId="4" borderId="1" xfId="0" applyNumberFormat="1" applyFont="1" applyFill="1" applyBorder="1" applyAlignment="1">
      <alignment vertical="top"/>
    </xf>
    <xf numFmtId="1" fontId="7" fillId="4" borderId="1" xfId="0" applyNumberFormat="1" applyFont="1" applyFill="1" applyBorder="1" applyAlignment="1">
      <alignment horizontal="right" vertical="top"/>
    </xf>
    <xf numFmtId="179" fontId="7" fillId="4" borderId="1" xfId="0" applyNumberFormat="1" applyFont="1" applyFill="1" applyBorder="1" applyAlignment="1">
      <alignment vertical="top"/>
    </xf>
    <xf numFmtId="0" fontId="7" fillId="4" borderId="1" xfId="0" applyNumberFormat="1" applyFont="1" applyFill="1" applyBorder="1" applyAlignment="1">
      <alignment vertical="top"/>
    </xf>
    <xf numFmtId="167" fontId="7" fillId="4" borderId="1" xfId="0" applyNumberFormat="1" applyFont="1" applyFill="1" applyBorder="1" applyAlignment="1">
      <alignment vertical="top"/>
    </xf>
    <xf numFmtId="2" fontId="7" fillId="4" borderId="1" xfId="0" applyNumberFormat="1" applyFont="1" applyFill="1" applyBorder="1" applyAlignment="1">
      <alignment vertical="top"/>
    </xf>
    <xf numFmtId="0" fontId="7" fillId="0" borderId="1" xfId="0" quotePrefix="1" applyFont="1" applyFill="1" applyBorder="1" applyAlignment="1">
      <alignment horizontal="left" vertical="top" wrapText="1"/>
    </xf>
    <xf numFmtId="0" fontId="21" fillId="0" borderId="1" xfId="0" applyFont="1" applyFill="1" applyBorder="1" applyAlignment="1">
      <alignment horizontal="left" vertical="top" wrapText="1"/>
    </xf>
    <xf numFmtId="164" fontId="21" fillId="0" borderId="1" xfId="2" applyNumberFormat="1" applyFont="1" applyBorder="1" applyAlignment="1">
      <alignment horizontal="center" vertical="top"/>
    </xf>
    <xf numFmtId="164" fontId="21" fillId="0" borderId="1" xfId="2" applyNumberFormat="1" applyFont="1" applyBorder="1" applyAlignment="1">
      <alignment vertical="top"/>
    </xf>
    <xf numFmtId="0" fontId="8" fillId="0" borderId="1" xfId="0" applyNumberFormat="1" applyFont="1" applyBorder="1" applyAlignment="1">
      <alignment vertical="top"/>
    </xf>
    <xf numFmtId="167" fontId="8" fillId="0" borderId="1" xfId="1" applyNumberFormat="1" applyFont="1" applyBorder="1" applyAlignment="1">
      <alignment vertical="top"/>
    </xf>
    <xf numFmtId="179" fontId="8" fillId="0" borderId="1" xfId="1" applyNumberFormat="1" applyFont="1" applyFill="1" applyBorder="1" applyAlignment="1">
      <alignment vertical="top"/>
    </xf>
    <xf numFmtId="167" fontId="8" fillId="0" borderId="1" xfId="0" applyNumberFormat="1" applyFont="1" applyBorder="1" applyAlignment="1">
      <alignment vertical="top"/>
    </xf>
    <xf numFmtId="1" fontId="8" fillId="0" borderId="1" xfId="0" applyNumberFormat="1" applyFont="1" applyBorder="1" applyAlignment="1">
      <alignment vertical="top"/>
    </xf>
    <xf numFmtId="167" fontId="8" fillId="0" borderId="1" xfId="0" applyNumberFormat="1" applyFont="1" applyFill="1" applyBorder="1" applyAlignment="1">
      <alignment vertical="top"/>
    </xf>
    <xf numFmtId="164" fontId="8" fillId="0" borderId="1" xfId="0" applyNumberFormat="1" applyFont="1" applyBorder="1" applyAlignment="1">
      <alignment vertical="top"/>
    </xf>
    <xf numFmtId="2" fontId="8" fillId="0" borderId="1" xfId="0" applyNumberFormat="1" applyFont="1" applyBorder="1" applyAlignment="1">
      <alignment vertical="top"/>
    </xf>
    <xf numFmtId="3" fontId="21" fillId="0" borderId="1" xfId="0" applyNumberFormat="1" applyFont="1" applyBorder="1" applyAlignment="1">
      <alignment vertical="top"/>
    </xf>
    <xf numFmtId="0" fontId="21" fillId="0" borderId="36" xfId="0" applyFont="1" applyFill="1" applyBorder="1" applyAlignment="1">
      <alignment vertical="top" wrapText="1"/>
    </xf>
    <xf numFmtId="164" fontId="21" fillId="0" borderId="1" xfId="2" quotePrefix="1" applyNumberFormat="1" applyFont="1" applyBorder="1" applyAlignment="1">
      <alignment vertical="top" wrapText="1"/>
    </xf>
    <xf numFmtId="0" fontId="21" fillId="0" borderId="2" xfId="0" applyFont="1" applyFill="1" applyBorder="1" applyAlignment="1">
      <alignment horizontal="left" vertical="top" wrapText="1"/>
    </xf>
    <xf numFmtId="0" fontId="21" fillId="0" borderId="3" xfId="0" applyFont="1" applyFill="1" applyBorder="1" applyAlignment="1">
      <alignment vertical="top" wrapText="1"/>
    </xf>
    <xf numFmtId="164" fontId="21" fillId="0" borderId="1" xfId="2" applyNumberFormat="1" applyFont="1" applyBorder="1" applyAlignment="1">
      <alignment vertical="top" wrapText="1"/>
    </xf>
    <xf numFmtId="3" fontId="7" fillId="4" borderId="1" xfId="0" applyNumberFormat="1" applyFont="1" applyFill="1" applyBorder="1" applyAlignment="1">
      <alignment vertical="top"/>
    </xf>
    <xf numFmtId="0" fontId="7" fillId="4" borderId="1" xfId="0" applyNumberFormat="1" applyFont="1" applyFill="1" applyBorder="1" applyAlignment="1">
      <alignment horizontal="center" vertical="top"/>
    </xf>
    <xf numFmtId="167" fontId="7" fillId="4" borderId="1" xfId="1" applyNumberFormat="1" applyFont="1" applyFill="1" applyBorder="1" applyAlignment="1">
      <alignment vertical="top"/>
    </xf>
    <xf numFmtId="1" fontId="7" fillId="4" borderId="1" xfId="0" applyNumberFormat="1" applyFont="1" applyFill="1" applyBorder="1" applyAlignment="1">
      <alignment vertical="top"/>
    </xf>
    <xf numFmtId="0" fontId="7" fillId="4" borderId="1" xfId="0" applyFont="1" applyFill="1" applyBorder="1" applyAlignment="1">
      <alignment vertical="top"/>
    </xf>
    <xf numFmtId="49" fontId="21" fillId="0" borderId="1" xfId="0" applyNumberFormat="1" applyFont="1" applyFill="1" applyBorder="1" applyAlignment="1">
      <alignment vertical="top" wrapText="1"/>
    </xf>
    <xf numFmtId="179" fontId="8" fillId="0" borderId="1" xfId="0" applyNumberFormat="1" applyFont="1" applyBorder="1" applyAlignment="1">
      <alignment vertical="top"/>
    </xf>
    <xf numFmtId="164" fontId="21" fillId="0" borderId="1" xfId="2" quotePrefix="1" applyNumberFormat="1" applyFont="1" applyBorder="1" applyAlignment="1">
      <alignment horizontal="left" vertical="top" wrapText="1"/>
    </xf>
    <xf numFmtId="164" fontId="21" fillId="0" borderId="1" xfId="2" quotePrefix="1" applyNumberFormat="1" applyFont="1" applyBorder="1" applyAlignment="1">
      <alignment vertical="top"/>
    </xf>
    <xf numFmtId="180" fontId="8" fillId="0" borderId="1" xfId="0" applyNumberFormat="1" applyFont="1" applyBorder="1" applyAlignment="1">
      <alignment vertical="top"/>
    </xf>
    <xf numFmtId="164" fontId="7" fillId="0" borderId="1" xfId="0" applyNumberFormat="1" applyFont="1" applyBorder="1" applyAlignment="1">
      <alignment vertical="center"/>
    </xf>
    <xf numFmtId="0" fontId="17" fillId="4" borderId="12" xfId="0" applyFont="1" applyFill="1" applyBorder="1" applyAlignment="1">
      <alignment vertical="top" wrapText="1"/>
    </xf>
    <xf numFmtId="169" fontId="7" fillId="4" borderId="1" xfId="0" applyNumberFormat="1" applyFont="1" applyFill="1" applyBorder="1" applyAlignment="1">
      <alignment vertical="top"/>
    </xf>
    <xf numFmtId="0" fontId="7" fillId="4" borderId="1" xfId="0" applyNumberFormat="1" applyFont="1" applyFill="1" applyBorder="1" applyAlignment="1">
      <alignment horizontal="right" vertical="top" wrapText="1"/>
    </xf>
    <xf numFmtId="164" fontId="8" fillId="4" borderId="1" xfId="0" applyNumberFormat="1" applyFont="1" applyFill="1" applyBorder="1" applyAlignment="1">
      <alignment vertical="top"/>
    </xf>
    <xf numFmtId="2" fontId="8" fillId="4" borderId="1" xfId="0" applyNumberFormat="1" applyFont="1" applyFill="1" applyBorder="1" applyAlignment="1">
      <alignment vertical="top"/>
    </xf>
    <xf numFmtId="167" fontId="21" fillId="0" borderId="1" xfId="1" applyNumberFormat="1" applyFont="1" applyBorder="1" applyAlignment="1">
      <alignment vertical="top"/>
    </xf>
    <xf numFmtId="0" fontId="21" fillId="0" borderId="1" xfId="2" applyNumberFormat="1" applyFont="1" applyBorder="1" applyAlignment="1">
      <alignment horizontal="right" vertical="top" wrapText="1"/>
    </xf>
    <xf numFmtId="179" fontId="8" fillId="0" borderId="1" xfId="1" applyNumberFormat="1" applyFont="1" applyBorder="1" applyAlignment="1">
      <alignment vertical="top"/>
    </xf>
    <xf numFmtId="0" fontId="21" fillId="0" borderId="1" xfId="2" applyNumberFormat="1" applyFont="1" applyBorder="1" applyAlignment="1">
      <alignment horizontal="right" vertical="top"/>
    </xf>
    <xf numFmtId="0" fontId="7" fillId="4" borderId="1" xfId="0" applyFont="1" applyFill="1" applyBorder="1" applyAlignment="1">
      <alignment horizontal="left" vertical="top" wrapText="1"/>
    </xf>
    <xf numFmtId="0" fontId="39" fillId="4" borderId="1" xfId="0" applyFont="1" applyFill="1" applyBorder="1" applyAlignment="1">
      <alignment horizontal="right" vertical="top"/>
    </xf>
    <xf numFmtId="3" fontId="17" fillId="4" borderId="1" xfId="0" applyNumberFormat="1" applyFont="1" applyFill="1" applyBorder="1" applyAlignment="1">
      <alignment vertical="top"/>
    </xf>
    <xf numFmtId="167" fontId="17" fillId="4" borderId="1" xfId="1" applyNumberFormat="1" applyFont="1" applyFill="1" applyBorder="1" applyAlignment="1">
      <alignment vertical="top"/>
    </xf>
    <xf numFmtId="0" fontId="7" fillId="4" borderId="1" xfId="0" applyFont="1" applyFill="1" applyBorder="1" applyAlignment="1">
      <alignment horizontal="right" vertical="top" wrapText="1"/>
    </xf>
    <xf numFmtId="0" fontId="21" fillId="0" borderId="38" xfId="0" applyFont="1" applyFill="1" applyBorder="1" applyAlignment="1">
      <alignment horizontal="left" vertical="top" wrapText="1"/>
    </xf>
    <xf numFmtId="0" fontId="39" fillId="4" borderId="1" xfId="0" applyFont="1" applyFill="1" applyBorder="1" applyAlignment="1">
      <alignment horizontal="right" vertical="top" wrapText="1"/>
    </xf>
    <xf numFmtId="0" fontId="24" fillId="4" borderId="1" xfId="0" applyFont="1" applyFill="1" applyBorder="1" applyAlignment="1">
      <alignment horizontal="right" vertical="top" wrapText="1"/>
    </xf>
    <xf numFmtId="0" fontId="39" fillId="4" borderId="1" xfId="0" applyNumberFormat="1" applyFont="1" applyFill="1" applyBorder="1" applyAlignment="1">
      <alignment horizontal="right" vertical="top"/>
    </xf>
    <xf numFmtId="167" fontId="8" fillId="4" borderId="1" xfId="0" applyNumberFormat="1" applyFont="1" applyFill="1" applyBorder="1" applyAlignment="1">
      <alignment vertical="top"/>
    </xf>
    <xf numFmtId="0" fontId="8" fillId="0" borderId="1" xfId="1" applyNumberFormat="1" applyFont="1" applyBorder="1" applyAlignment="1">
      <alignment vertical="top"/>
    </xf>
    <xf numFmtId="164" fontId="17" fillId="4" borderId="1" xfId="2" applyNumberFormat="1" applyFont="1" applyFill="1" applyBorder="1" applyAlignment="1">
      <alignment vertical="top"/>
    </xf>
    <xf numFmtId="179" fontId="7" fillId="4" borderId="1" xfId="1" applyNumberFormat="1" applyFont="1" applyFill="1" applyBorder="1" applyAlignment="1">
      <alignment vertical="top"/>
    </xf>
    <xf numFmtId="164" fontId="17" fillId="4" borderId="1" xfId="2" quotePrefix="1" applyNumberFormat="1" applyFont="1" applyFill="1" applyBorder="1" applyAlignment="1">
      <alignment vertical="top"/>
    </xf>
    <xf numFmtId="0" fontId="8" fillId="4" borderId="2" xfId="0" applyFont="1" applyFill="1" applyBorder="1" applyAlignment="1">
      <alignment horizontal="left" vertical="top" wrapText="1"/>
    </xf>
    <xf numFmtId="0" fontId="24" fillId="4" borderId="1" xfId="0" applyFont="1" applyFill="1" applyBorder="1" applyAlignment="1">
      <alignment horizontal="center" vertical="top" wrapText="1"/>
    </xf>
    <xf numFmtId="0" fontId="8" fillId="4" borderId="1" xfId="0" applyNumberFormat="1" applyFont="1" applyFill="1" applyBorder="1" applyAlignment="1">
      <alignment vertical="top"/>
    </xf>
    <xf numFmtId="0" fontId="21" fillId="0" borderId="12" xfId="0" applyFont="1" applyFill="1" applyBorder="1" applyAlignment="1">
      <alignment horizontal="left" vertical="top" wrapText="1"/>
    </xf>
    <xf numFmtId="0" fontId="21" fillId="0" borderId="1" xfId="2" quotePrefix="1" applyNumberFormat="1" applyFont="1" applyBorder="1" applyAlignment="1">
      <alignment horizontal="center" vertical="top"/>
    </xf>
    <xf numFmtId="0" fontId="8" fillId="0" borderId="1" xfId="0" applyNumberFormat="1" applyFont="1" applyFill="1" applyBorder="1" applyAlignment="1">
      <alignment horizontal="right" vertical="top" wrapText="1"/>
    </xf>
    <xf numFmtId="167" fontId="35" fillId="0" borderId="1" xfId="1" applyNumberFormat="1" applyFont="1" applyBorder="1" applyAlignment="1">
      <alignment vertical="top"/>
    </xf>
    <xf numFmtId="0" fontId="21" fillId="0" borderId="1" xfId="3" applyNumberFormat="1" applyFont="1" applyFill="1" applyBorder="1" applyAlignment="1">
      <alignment horizontal="right" vertical="top"/>
    </xf>
    <xf numFmtId="0" fontId="8" fillId="0" borderId="1" xfId="0" applyNumberFormat="1" applyFont="1" applyFill="1" applyBorder="1" applyAlignment="1">
      <alignment horizontal="center" vertical="top" wrapText="1"/>
    </xf>
    <xf numFmtId="164" fontId="21" fillId="0" borderId="1" xfId="2" applyNumberFormat="1" applyFont="1" applyBorder="1" applyAlignment="1">
      <alignment horizontal="right" vertical="top" wrapText="1"/>
    </xf>
    <xf numFmtId="0" fontId="39" fillId="4" borderId="1" xfId="0" applyFont="1" applyFill="1" applyBorder="1" applyAlignment="1">
      <alignment vertical="top" wrapText="1"/>
    </xf>
    <xf numFmtId="0" fontId="7" fillId="4" borderId="1" xfId="1" applyNumberFormat="1" applyFont="1" applyFill="1" applyBorder="1" applyAlignment="1">
      <alignment vertical="top"/>
    </xf>
    <xf numFmtId="0" fontId="21" fillId="0" borderId="31" xfId="3" applyNumberFormat="1" applyFont="1" applyFill="1" applyBorder="1" applyAlignment="1">
      <alignment horizontal="center" vertical="top" wrapText="1"/>
    </xf>
    <xf numFmtId="179" fontId="8" fillId="4" borderId="1" xfId="0" applyNumberFormat="1" applyFont="1" applyFill="1" applyBorder="1" applyAlignment="1">
      <alignment vertical="top"/>
    </xf>
    <xf numFmtId="179" fontId="7" fillId="0" borderId="14" xfId="0" applyNumberFormat="1" applyFont="1" applyBorder="1" applyAlignment="1">
      <alignment vertical="center"/>
    </xf>
    <xf numFmtId="167" fontId="8" fillId="0" borderId="14" xfId="1" applyNumberFormat="1" applyFont="1" applyBorder="1" applyAlignment="1">
      <alignment vertical="top"/>
    </xf>
    <xf numFmtId="164" fontId="21" fillId="0" borderId="1" xfId="2" applyNumberFormat="1" applyFont="1" applyFill="1" applyBorder="1" applyAlignment="1">
      <alignment horizontal="left" vertical="top" wrapText="1"/>
    </xf>
    <xf numFmtId="164" fontId="21" fillId="0" borderId="12" xfId="2" applyNumberFormat="1" applyFont="1" applyFill="1" applyBorder="1" applyAlignment="1">
      <alignment horizontal="left" vertical="top" wrapText="1"/>
    </xf>
    <xf numFmtId="0" fontId="21" fillId="0" borderId="6" xfId="0" applyFont="1" applyFill="1" applyBorder="1" applyAlignment="1">
      <alignment vertical="top" wrapText="1"/>
    </xf>
    <xf numFmtId="0" fontId="8" fillId="0" borderId="1" xfId="0" applyNumberFormat="1" applyFont="1" applyBorder="1" applyAlignment="1">
      <alignment horizontal="center" vertical="top"/>
    </xf>
    <xf numFmtId="1" fontId="8" fillId="0" borderId="1" xfId="1" applyNumberFormat="1" applyFont="1" applyBorder="1" applyAlignment="1">
      <alignment vertical="top"/>
    </xf>
    <xf numFmtId="3" fontId="8" fillId="4" borderId="1" xfId="0" applyNumberFormat="1" applyFont="1" applyFill="1" applyBorder="1" applyAlignment="1">
      <alignment vertical="top"/>
    </xf>
    <xf numFmtId="0" fontId="8" fillId="4" borderId="1" xfId="0" applyFont="1" applyFill="1" applyBorder="1" applyAlignment="1">
      <alignment horizontal="center" vertical="top"/>
    </xf>
    <xf numFmtId="0" fontId="21" fillId="0" borderId="1" xfId="2" quotePrefix="1" applyNumberFormat="1" applyFont="1" applyBorder="1" applyAlignment="1">
      <alignment horizontal="right" vertical="top"/>
    </xf>
    <xf numFmtId="3" fontId="8" fillId="0" borderId="11" xfId="0" applyNumberFormat="1" applyFont="1" applyBorder="1" applyAlignment="1">
      <alignment vertical="top"/>
    </xf>
    <xf numFmtId="0" fontId="8" fillId="0" borderId="116" xfId="0" applyNumberFormat="1" applyFont="1" applyFill="1" applyBorder="1" applyAlignment="1">
      <alignment horizontal="right" vertical="top" wrapText="1"/>
    </xf>
    <xf numFmtId="41" fontId="8" fillId="0" borderId="116" xfId="0" applyNumberFormat="1" applyFont="1" applyFill="1" applyBorder="1" applyAlignment="1">
      <alignment vertical="top" wrapText="1"/>
    </xf>
    <xf numFmtId="164" fontId="21" fillId="0" borderId="12" xfId="2" applyNumberFormat="1" applyFont="1" applyBorder="1" applyAlignment="1">
      <alignment vertical="top" wrapText="1"/>
    </xf>
    <xf numFmtId="0" fontId="8" fillId="0" borderId="89" xfId="0" applyNumberFormat="1" applyFont="1" applyFill="1" applyBorder="1" applyAlignment="1">
      <alignment horizontal="right" vertical="top" wrapText="1"/>
    </xf>
    <xf numFmtId="41" fontId="8" fillId="0" borderId="89" xfId="0" applyNumberFormat="1" applyFont="1" applyFill="1" applyBorder="1" applyAlignment="1">
      <alignment vertical="top" wrapText="1"/>
    </xf>
    <xf numFmtId="0" fontId="8" fillId="0" borderId="124" xfId="0" applyNumberFormat="1" applyFont="1" applyFill="1" applyBorder="1" applyAlignment="1">
      <alignment horizontal="right" vertical="top" wrapText="1"/>
    </xf>
    <xf numFmtId="41" fontId="8" fillId="0" borderId="124" xfId="0" applyNumberFormat="1" applyFont="1" applyFill="1" applyBorder="1" applyAlignment="1">
      <alignment vertical="top" wrapText="1"/>
    </xf>
    <xf numFmtId="0" fontId="21" fillId="4" borderId="1" xfId="0" applyFont="1" applyFill="1" applyBorder="1" applyAlignment="1">
      <alignment vertical="top" wrapText="1"/>
    </xf>
    <xf numFmtId="1" fontId="7" fillId="4" borderId="1" xfId="0" applyNumberFormat="1" applyFont="1" applyFill="1" applyBorder="1" applyAlignment="1">
      <alignment horizontal="center" vertical="top"/>
    </xf>
    <xf numFmtId="164" fontId="21" fillId="9" borderId="1" xfId="2" applyNumberFormat="1" applyFont="1" applyFill="1" applyBorder="1" applyAlignment="1">
      <alignment horizontal="left" vertical="top" wrapText="1"/>
    </xf>
    <xf numFmtId="3" fontId="21" fillId="9" borderId="1" xfId="0" applyNumberFormat="1" applyFont="1" applyFill="1" applyBorder="1" applyAlignment="1">
      <alignment horizontal="right" vertical="top" wrapText="1"/>
    </xf>
    <xf numFmtId="0" fontId="21" fillId="0" borderId="1" xfId="3" applyNumberFormat="1" applyFont="1" applyFill="1" applyBorder="1" applyAlignment="1">
      <alignment horizontal="center" vertical="top"/>
    </xf>
    <xf numFmtId="9" fontId="21" fillId="0" borderId="31" xfId="3" applyNumberFormat="1" applyFont="1" applyFill="1" applyBorder="1" applyAlignment="1">
      <alignment horizontal="center" vertical="top"/>
    </xf>
    <xf numFmtId="0" fontId="8" fillId="4" borderId="1" xfId="0" applyFont="1" applyFill="1" applyBorder="1" applyAlignment="1">
      <alignment vertical="top"/>
    </xf>
    <xf numFmtId="0" fontId="7" fillId="0" borderId="1" xfId="0" applyFont="1" applyBorder="1" applyAlignment="1">
      <alignment horizontal="right" vertical="center"/>
    </xf>
    <xf numFmtId="164" fontId="7" fillId="0" borderId="1" xfId="0" applyNumberFormat="1" applyFont="1" applyBorder="1" applyAlignment="1">
      <alignment horizontal="center" vertical="center"/>
    </xf>
    <xf numFmtId="2" fontId="7" fillId="0" borderId="1" xfId="0" applyNumberFormat="1" applyFont="1" applyBorder="1" applyAlignment="1">
      <alignment horizontal="right" vertical="center"/>
    </xf>
    <xf numFmtId="164" fontId="7" fillId="0" borderId="1" xfId="0" applyNumberFormat="1" applyFont="1" applyBorder="1" applyAlignment="1">
      <alignment horizontal="right" vertical="top"/>
    </xf>
    <xf numFmtId="2" fontId="7" fillId="0" borderId="1" xfId="0" applyNumberFormat="1" applyFont="1" applyBorder="1" applyAlignment="1">
      <alignment horizontal="right" vertical="top"/>
    </xf>
    <xf numFmtId="164" fontId="7" fillId="0" borderId="1" xfId="0" applyNumberFormat="1" applyFont="1" applyBorder="1" applyAlignment="1">
      <alignment horizontal="right" vertical="center"/>
    </xf>
    <xf numFmtId="2" fontId="7" fillId="0" borderId="1" xfId="0" applyNumberFormat="1" applyFont="1" applyBorder="1" applyAlignment="1">
      <alignment vertical="center"/>
    </xf>
    <xf numFmtId="0" fontId="7" fillId="0" borderId="14" xfId="0" applyFont="1" applyBorder="1" applyAlignment="1">
      <alignment horizontal="right" vertical="center"/>
    </xf>
    <xf numFmtId="0" fontId="8" fillId="0" borderId="14" xfId="0" applyFont="1" applyBorder="1"/>
    <xf numFmtId="164" fontId="8" fillId="0" borderId="14" xfId="0" applyNumberFormat="1" applyFont="1" applyBorder="1" applyAlignment="1">
      <alignment vertical="top"/>
    </xf>
    <xf numFmtId="0" fontId="8" fillId="0" borderId="14" xfId="0" applyFont="1" applyBorder="1" applyAlignment="1">
      <alignment vertical="top"/>
    </xf>
    <xf numFmtId="179" fontId="8" fillId="0" borderId="14" xfId="0" applyNumberFormat="1" applyFont="1" applyBorder="1" applyAlignment="1">
      <alignment vertical="top"/>
    </xf>
    <xf numFmtId="167" fontId="8" fillId="0" borderId="14" xfId="0" applyNumberFormat="1" applyFont="1" applyBorder="1" applyAlignment="1">
      <alignment vertical="top"/>
    </xf>
    <xf numFmtId="2" fontId="8" fillId="0" borderId="14" xfId="0" applyNumberFormat="1" applyFont="1" applyBorder="1" applyAlignment="1">
      <alignment vertical="top"/>
    </xf>
    <xf numFmtId="167" fontId="8" fillId="0" borderId="14" xfId="0" applyNumberFormat="1" applyFont="1" applyFill="1" applyBorder="1" applyAlignment="1">
      <alignment vertical="top"/>
    </xf>
    <xf numFmtId="175" fontId="8" fillId="0" borderId="1" xfId="0" applyNumberFormat="1" applyFont="1" applyBorder="1" applyAlignment="1">
      <alignment vertical="top"/>
    </xf>
    <xf numFmtId="175" fontId="8" fillId="4" borderId="1" xfId="0" applyNumberFormat="1" applyFont="1" applyFill="1" applyBorder="1" applyAlignment="1">
      <alignment vertical="top"/>
    </xf>
    <xf numFmtId="181" fontId="7" fillId="0" borderId="1" xfId="0" applyNumberFormat="1" applyFont="1" applyBorder="1" applyAlignment="1">
      <alignment horizontal="right" vertical="center"/>
    </xf>
    <xf numFmtId="0" fontId="7" fillId="0" borderId="1" xfId="0" applyFont="1" applyBorder="1" applyAlignment="1">
      <alignment vertical="center"/>
    </xf>
    <xf numFmtId="181" fontId="7" fillId="0" borderId="1" xfId="0" applyNumberFormat="1" applyFont="1" applyBorder="1" applyAlignment="1">
      <alignment vertical="center"/>
    </xf>
    <xf numFmtId="175" fontId="7" fillId="0" borderId="1" xfId="0" applyNumberFormat="1" applyFont="1" applyBorder="1" applyAlignment="1">
      <alignment vertical="center"/>
    </xf>
    <xf numFmtId="167" fontId="8" fillId="0" borderId="1" xfId="1" applyNumberFormat="1" applyFont="1" applyFill="1" applyBorder="1" applyAlignment="1">
      <alignment vertical="top"/>
    </xf>
    <xf numFmtId="168" fontId="8" fillId="0" borderId="1" xfId="0" applyNumberFormat="1" applyFont="1" applyBorder="1" applyAlignment="1">
      <alignment vertical="top"/>
    </xf>
    <xf numFmtId="0" fontId="7" fillId="0" borderId="1" xfId="0" applyFont="1" applyBorder="1" applyAlignment="1">
      <alignment vertical="top"/>
    </xf>
    <xf numFmtId="172" fontId="7" fillId="0" borderId="1" xfId="0" applyNumberFormat="1" applyFont="1" applyBorder="1"/>
    <xf numFmtId="0" fontId="7" fillId="0" borderId="1" xfId="0" applyFont="1" applyBorder="1" applyAlignment="1">
      <alignment horizontal="right"/>
    </xf>
    <xf numFmtId="0" fontId="8" fillId="9" borderId="56" xfId="0" quotePrefix="1" applyFont="1" applyFill="1" applyBorder="1" applyAlignment="1">
      <alignment vertical="top" wrapText="1"/>
    </xf>
    <xf numFmtId="0" fontId="15" fillId="9" borderId="58" xfId="0" applyFont="1" applyFill="1" applyBorder="1" applyAlignment="1">
      <alignment vertical="top" wrapText="1"/>
    </xf>
    <xf numFmtId="9" fontId="8" fillId="9" borderId="56" xfId="0" applyNumberFormat="1" applyFont="1" applyFill="1" applyBorder="1" applyAlignment="1">
      <alignment vertical="top" wrapText="1"/>
    </xf>
    <xf numFmtId="164" fontId="8" fillId="9" borderId="56" xfId="2" applyNumberFormat="1" applyFont="1" applyFill="1" applyBorder="1" applyAlignment="1">
      <alignment vertical="top" wrapText="1"/>
    </xf>
    <xf numFmtId="9" fontId="8" fillId="9" borderId="56" xfId="3" applyFont="1" applyFill="1" applyBorder="1" applyAlignment="1">
      <alignment vertical="top" wrapText="1"/>
    </xf>
    <xf numFmtId="178" fontId="8" fillId="9" borderId="56" xfId="3" applyNumberFormat="1" applyFont="1" applyFill="1" applyBorder="1" applyAlignment="1">
      <alignment vertical="top" wrapText="1"/>
    </xf>
    <xf numFmtId="164" fontId="8" fillId="9" borderId="56" xfId="0" applyNumberFormat="1" applyFont="1" applyFill="1" applyBorder="1" applyAlignment="1">
      <alignment vertical="top" wrapText="1"/>
    </xf>
    <xf numFmtId="9" fontId="8" fillId="0" borderId="56" xfId="3" applyFont="1" applyBorder="1" applyAlignment="1">
      <alignment vertical="top" wrapText="1"/>
    </xf>
    <xf numFmtId="9" fontId="8" fillId="0" borderId="56" xfId="3" applyFont="1" applyBorder="1" applyAlignment="1">
      <alignment horizontal="center" vertical="top" wrapText="1"/>
    </xf>
    <xf numFmtId="178" fontId="8" fillId="0" borderId="56" xfId="3" applyNumberFormat="1" applyFont="1" applyBorder="1" applyAlignment="1">
      <alignment horizontal="center" vertical="top" wrapText="1"/>
    </xf>
    <xf numFmtId="0" fontId="8" fillId="0" borderId="127" xfId="0" applyFont="1" applyBorder="1"/>
    <xf numFmtId="0" fontId="8" fillId="0" borderId="76" xfId="0" applyFont="1" applyBorder="1"/>
    <xf numFmtId="0" fontId="8" fillId="0" borderId="126" xfId="0" applyFont="1" applyBorder="1"/>
    <xf numFmtId="178" fontId="7" fillId="0" borderId="83" xfId="0" applyNumberFormat="1" applyFont="1" applyBorder="1"/>
    <xf numFmtId="164" fontId="7" fillId="0" borderId="83" xfId="0" applyNumberFormat="1" applyFont="1" applyBorder="1"/>
    <xf numFmtId="178" fontId="8" fillId="0" borderId="83" xfId="0" applyNumberFormat="1" applyFont="1" applyBorder="1"/>
    <xf numFmtId="0" fontId="31" fillId="0" borderId="81" xfId="0" applyFont="1" applyBorder="1"/>
    <xf numFmtId="0" fontId="8" fillId="0" borderId="0" xfId="0" applyFont="1" applyBorder="1"/>
    <xf numFmtId="0" fontId="8" fillId="0" borderId="49" xfId="0" applyFont="1" applyBorder="1" applyAlignment="1">
      <alignment vertical="top"/>
    </xf>
    <xf numFmtId="0" fontId="7" fillId="0" borderId="1" xfId="0" quotePrefix="1" applyFont="1" applyFill="1" applyBorder="1" applyAlignment="1">
      <alignment horizontal="center" vertical="top" wrapText="1"/>
    </xf>
    <xf numFmtId="0" fontId="7" fillId="8" borderId="128" xfId="0" applyFont="1" applyFill="1" applyBorder="1" applyAlignment="1">
      <alignment horizontal="center" vertical="center"/>
    </xf>
    <xf numFmtId="0" fontId="7" fillId="19" borderId="1" xfId="0" applyFont="1" applyFill="1" applyBorder="1" applyAlignment="1">
      <alignment vertical="top"/>
    </xf>
    <xf numFmtId="0" fontId="7" fillId="19" borderId="1" xfId="0" applyFont="1" applyFill="1" applyBorder="1" applyAlignment="1">
      <alignment vertical="top" wrapText="1"/>
    </xf>
    <xf numFmtId="0" fontId="7" fillId="19" borderId="1" xfId="0" quotePrefix="1" applyFont="1" applyFill="1" applyBorder="1" applyAlignment="1">
      <alignment horizontal="center" vertical="top"/>
    </xf>
    <xf numFmtId="0" fontId="7" fillId="19" borderId="4" xfId="0" quotePrefix="1" applyFont="1" applyFill="1" applyBorder="1" applyAlignment="1">
      <alignment horizontal="center" vertical="top"/>
    </xf>
    <xf numFmtId="0" fontId="17" fillId="19" borderId="1" xfId="0" applyFont="1" applyFill="1" applyBorder="1" applyAlignment="1">
      <alignment vertical="top" wrapText="1"/>
    </xf>
    <xf numFmtId="41" fontId="7" fillId="19" borderId="1" xfId="1" applyFont="1" applyFill="1" applyBorder="1" applyAlignment="1">
      <alignment vertical="top" wrapText="1"/>
    </xf>
    <xf numFmtId="41" fontId="17" fillId="19" borderId="1" xfId="1" applyFont="1" applyFill="1" applyBorder="1" applyAlignment="1">
      <alignment vertical="top" wrapText="1"/>
    </xf>
    <xf numFmtId="0" fontId="8" fillId="19" borderId="1" xfId="0" applyFont="1" applyFill="1" applyBorder="1" applyAlignment="1">
      <alignment vertical="top"/>
    </xf>
    <xf numFmtId="0" fontId="8" fillId="19" borderId="1" xfId="0" applyFont="1" applyFill="1" applyBorder="1" applyAlignment="1">
      <alignment vertical="top" wrapText="1"/>
    </xf>
    <xf numFmtId="41" fontId="7" fillId="19" borderId="1" xfId="1" applyFont="1" applyFill="1" applyBorder="1" applyAlignment="1">
      <alignment vertical="top"/>
    </xf>
    <xf numFmtId="2" fontId="4" fillId="19" borderId="1" xfId="0" applyNumberFormat="1" applyFont="1" applyFill="1" applyBorder="1" applyAlignment="1">
      <alignment vertical="top"/>
    </xf>
    <xf numFmtId="166" fontId="4" fillId="19" borderId="1" xfId="1" applyNumberFormat="1" applyFont="1" applyFill="1" applyBorder="1" applyAlignment="1">
      <alignment vertical="top"/>
    </xf>
    <xf numFmtId="0" fontId="4" fillId="19" borderId="1" xfId="0" applyFont="1" applyFill="1" applyBorder="1" applyAlignment="1">
      <alignment horizontal="center" vertical="top"/>
    </xf>
    <xf numFmtId="0" fontId="4" fillId="19" borderId="0" xfId="0" applyFont="1" applyFill="1" applyAlignment="1">
      <alignment vertical="top"/>
    </xf>
    <xf numFmtId="0" fontId="8" fillId="19" borderId="1" xfId="0" quotePrefix="1" applyFont="1" applyFill="1" applyBorder="1" applyAlignment="1">
      <alignment horizontal="center" vertical="top"/>
    </xf>
    <xf numFmtId="0" fontId="8" fillId="19" borderId="4" xfId="0" quotePrefix="1" applyFont="1" applyFill="1" applyBorder="1" applyAlignment="1">
      <alignment horizontal="center" vertical="top"/>
    </xf>
    <xf numFmtId="0" fontId="7" fillId="20" borderId="1" xfId="0" applyFont="1" applyFill="1" applyBorder="1" applyAlignment="1">
      <alignment vertical="top"/>
    </xf>
    <xf numFmtId="0" fontId="7" fillId="20" borderId="1" xfId="0" applyFont="1" applyFill="1" applyBorder="1" applyAlignment="1">
      <alignment vertical="top" wrapText="1"/>
    </xf>
    <xf numFmtId="0" fontId="7" fillId="20" borderId="1" xfId="0" quotePrefix="1" applyFont="1" applyFill="1" applyBorder="1" applyAlignment="1">
      <alignment horizontal="center" vertical="top"/>
    </xf>
    <xf numFmtId="0" fontId="7" fillId="20" borderId="4" xfId="0" quotePrefix="1" applyFont="1" applyFill="1" applyBorder="1" applyAlignment="1">
      <alignment horizontal="center" vertical="top"/>
    </xf>
    <xf numFmtId="0" fontId="17" fillId="20" borderId="1" xfId="0" applyFont="1" applyFill="1" applyBorder="1" applyAlignment="1">
      <alignment vertical="top" wrapText="1"/>
    </xf>
    <xf numFmtId="41" fontId="7" fillId="20" borderId="1" xfId="1" applyFont="1" applyFill="1" applyBorder="1" applyAlignment="1">
      <alignment vertical="top" wrapText="1"/>
    </xf>
    <xf numFmtId="41" fontId="17" fillId="20" borderId="1" xfId="1" applyFont="1" applyFill="1" applyBorder="1" applyAlignment="1">
      <alignment vertical="top" wrapText="1"/>
    </xf>
    <xf numFmtId="0" fontId="8" fillId="20" borderId="1" xfId="0" applyFont="1" applyFill="1" applyBorder="1" applyAlignment="1">
      <alignment vertical="top"/>
    </xf>
    <xf numFmtId="0" fontId="8" fillId="20" borderId="1" xfId="0" applyFont="1" applyFill="1" applyBorder="1" applyAlignment="1">
      <alignment vertical="top" wrapText="1"/>
    </xf>
    <xf numFmtId="41" fontId="7" fillId="20" borderId="1" xfId="1" applyFont="1" applyFill="1" applyBorder="1" applyAlignment="1">
      <alignment vertical="top"/>
    </xf>
    <xf numFmtId="2" fontId="4" fillId="20" borderId="1" xfId="0" applyNumberFormat="1" applyFont="1" applyFill="1" applyBorder="1" applyAlignment="1">
      <alignment vertical="top"/>
    </xf>
    <xf numFmtId="166" fontId="4" fillId="20" borderId="1" xfId="1" applyNumberFormat="1" applyFont="1" applyFill="1" applyBorder="1" applyAlignment="1">
      <alignment vertical="top"/>
    </xf>
    <xf numFmtId="0" fontId="4" fillId="20" borderId="1" xfId="0" applyFont="1" applyFill="1" applyBorder="1" applyAlignment="1">
      <alignment horizontal="center" vertical="top"/>
    </xf>
    <xf numFmtId="0" fontId="4" fillId="20" borderId="0" xfId="0" applyFont="1" applyFill="1" applyAlignment="1">
      <alignment vertical="top"/>
    </xf>
    <xf numFmtId="0" fontId="7" fillId="20" borderId="1" xfId="0" applyFont="1" applyFill="1" applyBorder="1" applyAlignment="1">
      <alignment horizontal="right" vertical="top" wrapText="1"/>
    </xf>
    <xf numFmtId="0" fontId="8" fillId="10" borderId="1" xfId="0" applyFont="1" applyFill="1" applyBorder="1" applyAlignment="1">
      <alignment vertical="top" wrapText="1"/>
    </xf>
    <xf numFmtId="41" fontId="7" fillId="10" borderId="1" xfId="1" applyFont="1" applyFill="1" applyBorder="1" applyAlignment="1">
      <alignment vertical="top"/>
    </xf>
    <xf numFmtId="2" fontId="4" fillId="10" borderId="1" xfId="0" applyNumberFormat="1" applyFont="1" applyFill="1" applyBorder="1" applyAlignment="1">
      <alignment vertical="top"/>
    </xf>
    <xf numFmtId="166" fontId="4" fillId="10" borderId="1" xfId="1" applyNumberFormat="1" applyFont="1" applyFill="1" applyBorder="1" applyAlignment="1">
      <alignment vertical="top"/>
    </xf>
    <xf numFmtId="0" fontId="4" fillId="10" borderId="1" xfId="0" applyFont="1" applyFill="1" applyBorder="1" applyAlignment="1">
      <alignment horizontal="center" vertical="top"/>
    </xf>
    <xf numFmtId="0" fontId="4" fillId="10" borderId="0" xfId="0" applyFont="1" applyFill="1" applyAlignment="1">
      <alignment vertical="top"/>
    </xf>
    <xf numFmtId="41" fontId="17" fillId="0" borderId="1" xfId="1" applyFont="1" applyFill="1" applyBorder="1" applyAlignment="1">
      <alignment vertical="top" wrapText="1"/>
    </xf>
    <xf numFmtId="2" fontId="4" fillId="0" borderId="1" xfId="0" applyNumberFormat="1" applyFont="1" applyFill="1" applyBorder="1" applyAlignment="1">
      <alignment vertical="top"/>
    </xf>
    <xf numFmtId="166" fontId="4" fillId="0" borderId="1" xfId="1" applyNumberFormat="1" applyFont="1" applyFill="1" applyBorder="1" applyAlignment="1">
      <alignment vertical="top"/>
    </xf>
    <xf numFmtId="0" fontId="4" fillId="0" borderId="1" xfId="0" applyFont="1" applyFill="1" applyBorder="1" applyAlignment="1">
      <alignment horizontal="center" vertical="top"/>
    </xf>
    <xf numFmtId="0" fontId="8" fillId="0" borderId="1" xfId="0" applyFont="1" applyFill="1" applyBorder="1" applyAlignment="1">
      <alignment wrapText="1"/>
    </xf>
    <xf numFmtId="41" fontId="21" fillId="0" borderId="1" xfId="1" applyFont="1" applyFill="1" applyBorder="1" applyAlignment="1">
      <alignment vertical="top" wrapText="1"/>
    </xf>
    <xf numFmtId="0" fontId="0" fillId="0" borderId="1" xfId="0" applyFill="1" applyBorder="1" applyAlignment="1">
      <alignment vertical="top"/>
    </xf>
    <xf numFmtId="0" fontId="0" fillId="0" borderId="0" xfId="0" applyFill="1" applyAlignment="1">
      <alignment vertical="top"/>
    </xf>
    <xf numFmtId="0" fontId="7" fillId="0" borderId="1" xfId="0" applyFont="1" applyFill="1" applyBorder="1" applyAlignment="1">
      <alignment horizontal="right" vertical="top" wrapText="1"/>
    </xf>
    <xf numFmtId="164" fontId="21" fillId="0" borderId="1" xfId="2" applyNumberFormat="1" applyFont="1" applyFill="1" applyBorder="1" applyAlignment="1">
      <alignment vertical="top"/>
    </xf>
    <xf numFmtId="3" fontId="7" fillId="0" borderId="1" xfId="0" applyNumberFormat="1" applyFont="1" applyFill="1" applyBorder="1" applyAlignment="1">
      <alignment vertical="top"/>
    </xf>
    <xf numFmtId="167" fontId="7" fillId="0" borderId="1" xfId="1" applyNumberFormat="1" applyFont="1" applyFill="1" applyBorder="1" applyAlignment="1">
      <alignment vertical="top"/>
    </xf>
    <xf numFmtId="0" fontId="24" fillId="0" borderId="1" xfId="0" applyFont="1" applyFill="1" applyBorder="1" applyAlignment="1">
      <alignment horizontal="right" vertical="top"/>
    </xf>
    <xf numFmtId="179" fontId="7" fillId="0" borderId="1" xfId="0" applyNumberFormat="1" applyFont="1" applyFill="1" applyBorder="1" applyAlignment="1">
      <alignment vertical="top"/>
    </xf>
    <xf numFmtId="179" fontId="8" fillId="0" borderId="1" xfId="0" applyNumberFormat="1" applyFont="1" applyFill="1" applyBorder="1" applyAlignment="1">
      <alignment vertical="top"/>
    </xf>
    <xf numFmtId="167" fontId="7" fillId="0" borderId="1" xfId="0" applyNumberFormat="1" applyFont="1" applyFill="1" applyBorder="1" applyAlignment="1">
      <alignment vertical="top"/>
    </xf>
    <xf numFmtId="164" fontId="8" fillId="0" borderId="1" xfId="0" applyNumberFormat="1" applyFont="1" applyFill="1" applyBorder="1" applyAlignment="1">
      <alignment vertical="top"/>
    </xf>
    <xf numFmtId="0" fontId="39" fillId="0" borderId="1" xfId="0" applyNumberFormat="1" applyFont="1" applyFill="1" applyBorder="1" applyAlignment="1">
      <alignment horizontal="right" vertical="top"/>
    </xf>
    <xf numFmtId="3" fontId="17" fillId="0" borderId="1" xfId="0" applyNumberFormat="1" applyFont="1" applyFill="1" applyBorder="1" applyAlignment="1">
      <alignment vertical="top"/>
    </xf>
    <xf numFmtId="0" fontId="8" fillId="0" borderId="1" xfId="0" applyNumberFormat="1" applyFont="1" applyFill="1" applyBorder="1" applyAlignment="1">
      <alignment vertical="top"/>
    </xf>
    <xf numFmtId="49" fontId="17" fillId="0" borderId="1" xfId="0" applyNumberFormat="1" applyFont="1" applyFill="1" applyBorder="1" applyAlignment="1">
      <alignment vertical="top" wrapText="1"/>
    </xf>
    <xf numFmtId="0" fontId="7" fillId="0" borderId="1" xfId="0" applyNumberFormat="1" applyFont="1" applyFill="1" applyBorder="1" applyAlignment="1">
      <alignment horizontal="right" vertical="top"/>
    </xf>
    <xf numFmtId="164" fontId="7" fillId="0" borderId="1" xfId="0" applyNumberFormat="1" applyFont="1" applyFill="1" applyBorder="1" applyAlignment="1">
      <alignment vertical="top"/>
    </xf>
    <xf numFmtId="164" fontId="17" fillId="0" borderId="1" xfId="2" applyNumberFormat="1" applyFont="1" applyFill="1" applyBorder="1" applyAlignment="1">
      <alignment vertical="top" wrapText="1"/>
    </xf>
    <xf numFmtId="0" fontId="17" fillId="0" borderId="1" xfId="0" applyFont="1" applyFill="1" applyBorder="1" applyAlignment="1">
      <alignment horizontal="left" vertical="top" wrapText="1"/>
    </xf>
    <xf numFmtId="169" fontId="7" fillId="0" borderId="1" xfId="0" applyNumberFormat="1" applyFont="1" applyFill="1" applyBorder="1" applyAlignment="1">
      <alignment vertical="top"/>
    </xf>
    <xf numFmtId="175" fontId="8" fillId="0" borderId="1" xfId="0" applyNumberFormat="1" applyFont="1" applyFill="1" applyBorder="1" applyAlignment="1">
      <alignment vertical="top"/>
    </xf>
    <xf numFmtId="0" fontId="7" fillId="0" borderId="2" xfId="0" applyNumberFormat="1" applyFont="1" applyFill="1" applyBorder="1" applyAlignment="1">
      <alignment horizontal="right" vertical="top" wrapText="1"/>
    </xf>
    <xf numFmtId="1" fontId="7" fillId="0" borderId="1" xfId="0" applyNumberFormat="1" applyFont="1" applyFill="1" applyBorder="1" applyAlignment="1">
      <alignment vertical="top"/>
    </xf>
    <xf numFmtId="0" fontId="39" fillId="0" borderId="1" xfId="0" applyFont="1" applyFill="1" applyBorder="1" applyAlignment="1">
      <alignment horizontal="right" vertical="top"/>
    </xf>
    <xf numFmtId="175" fontId="7" fillId="0" borderId="1" xfId="0" applyNumberFormat="1" applyFont="1" applyFill="1" applyBorder="1" applyAlignment="1">
      <alignment vertical="top"/>
    </xf>
    <xf numFmtId="168" fontId="7" fillId="0" borderId="1" xfId="0" applyNumberFormat="1" applyFont="1" applyFill="1" applyBorder="1" applyAlignment="1">
      <alignment vertical="top"/>
    </xf>
    <xf numFmtId="0" fontId="7" fillId="0" borderId="1" xfId="0" applyNumberFormat="1" applyFont="1" applyFill="1" applyBorder="1" applyAlignment="1">
      <alignment horizontal="right" vertical="top" wrapText="1"/>
    </xf>
    <xf numFmtId="0" fontId="7" fillId="0" borderId="1" xfId="0" applyNumberFormat="1" applyFont="1" applyFill="1" applyBorder="1" applyAlignment="1">
      <alignment horizontal="center" vertical="top"/>
    </xf>
    <xf numFmtId="3" fontId="21" fillId="0" borderId="1" xfId="0" applyNumberFormat="1" applyFont="1" applyFill="1" applyBorder="1" applyAlignment="1">
      <alignment vertical="top"/>
    </xf>
    <xf numFmtId="0" fontId="7" fillId="0" borderId="1" xfId="0" applyFont="1" applyFill="1" applyBorder="1" applyAlignment="1">
      <alignment horizontal="right" vertical="center"/>
    </xf>
    <xf numFmtId="181" fontId="7" fillId="0" borderId="1" xfId="0" applyNumberFormat="1" applyFont="1" applyFill="1" applyBorder="1" applyAlignment="1">
      <alignment horizontal="right" vertical="center"/>
    </xf>
    <xf numFmtId="0" fontId="8" fillId="0" borderId="1" xfId="0" applyNumberFormat="1" applyFont="1" applyFill="1" applyBorder="1" applyAlignment="1">
      <alignment horizontal="center" vertical="top"/>
    </xf>
    <xf numFmtId="164" fontId="21" fillId="0" borderId="1" xfId="2" applyNumberFormat="1" applyFont="1" applyFill="1" applyBorder="1" applyAlignment="1">
      <alignment vertical="top" wrapText="1"/>
    </xf>
    <xf numFmtId="0" fontId="8" fillId="0" borderId="1" xfId="1" applyNumberFormat="1" applyFont="1" applyFill="1" applyBorder="1" applyAlignment="1">
      <alignment horizontal="center" vertical="top"/>
    </xf>
    <xf numFmtId="175" fontId="7" fillId="0" borderId="1" xfId="0" applyNumberFormat="1" applyFont="1" applyFill="1" applyBorder="1" applyAlignment="1">
      <alignment horizontal="right" vertical="center"/>
    </xf>
    <xf numFmtId="3" fontId="7" fillId="0" borderId="1" xfId="0" applyNumberFormat="1" applyFont="1" applyFill="1" applyBorder="1" applyAlignment="1">
      <alignment horizontal="center" vertical="top"/>
    </xf>
    <xf numFmtId="168" fontId="8" fillId="0" borderId="1" xfId="0" applyNumberFormat="1" applyFont="1" applyFill="1" applyBorder="1" applyAlignment="1">
      <alignment vertical="top"/>
    </xf>
    <xf numFmtId="0" fontId="17" fillId="0" borderId="12" xfId="0" applyFont="1" applyFill="1" applyBorder="1" applyAlignment="1">
      <alignment vertical="center" wrapText="1"/>
    </xf>
    <xf numFmtId="0" fontId="35" fillId="0" borderId="0" xfId="0" applyFont="1" applyFill="1" applyAlignment="1">
      <alignment vertical="top"/>
    </xf>
    <xf numFmtId="3" fontId="8" fillId="0" borderId="1" xfId="0" applyNumberFormat="1" applyFont="1" applyFill="1" applyBorder="1" applyAlignment="1">
      <alignment vertical="top"/>
    </xf>
    <xf numFmtId="167" fontId="21" fillId="0" borderId="1" xfId="1" applyNumberFormat="1" applyFont="1" applyFill="1" applyBorder="1" applyAlignment="1">
      <alignment vertical="top"/>
    </xf>
    <xf numFmtId="0" fontId="21" fillId="0" borderId="1" xfId="3" quotePrefix="1" applyNumberFormat="1" applyFont="1" applyFill="1" applyBorder="1" applyAlignment="1">
      <alignment horizontal="center" vertical="top"/>
    </xf>
    <xf numFmtId="0" fontId="17" fillId="0" borderId="1" xfId="3" quotePrefix="1" applyNumberFormat="1" applyFont="1" applyFill="1" applyBorder="1" applyAlignment="1">
      <alignment horizontal="right" vertical="top"/>
    </xf>
    <xf numFmtId="164" fontId="21" fillId="0" borderId="1" xfId="2" applyNumberFormat="1" applyFont="1" applyFill="1" applyBorder="1" applyAlignment="1">
      <alignment horizontal="center" vertical="top"/>
    </xf>
    <xf numFmtId="0" fontId="24" fillId="0" borderId="1" xfId="0" applyNumberFormat="1" applyFont="1" applyFill="1" applyBorder="1" applyAlignment="1">
      <alignment horizontal="right" vertical="top"/>
    </xf>
    <xf numFmtId="167" fontId="7" fillId="0" borderId="1" xfId="1" applyNumberFormat="1" applyFont="1" applyFill="1" applyBorder="1" applyAlignment="1">
      <alignment horizontal="right" vertical="top"/>
    </xf>
    <xf numFmtId="1" fontId="8" fillId="0" borderId="1" xfId="0" applyNumberFormat="1" applyFont="1" applyFill="1" applyBorder="1" applyAlignment="1">
      <alignment horizontal="center" vertical="top"/>
    </xf>
    <xf numFmtId="182" fontId="8" fillId="0" borderId="1" xfId="0" applyNumberFormat="1" applyFont="1" applyFill="1" applyBorder="1" applyAlignment="1">
      <alignment horizontal="right" vertical="top"/>
    </xf>
    <xf numFmtId="0" fontId="8" fillId="0" borderId="1" xfId="0" applyNumberFormat="1" applyFont="1" applyFill="1" applyBorder="1" applyAlignment="1">
      <alignment horizontal="right" vertical="top"/>
    </xf>
    <xf numFmtId="0" fontId="8" fillId="0" borderId="1" xfId="1" applyNumberFormat="1" applyFont="1" applyFill="1" applyBorder="1" applyAlignment="1">
      <alignment vertical="top"/>
    </xf>
    <xf numFmtId="0" fontId="8" fillId="0" borderId="1" xfId="0" quotePrefix="1" applyNumberFormat="1" applyFont="1" applyFill="1" applyBorder="1" applyAlignment="1">
      <alignment horizontal="right" vertical="top"/>
    </xf>
    <xf numFmtId="0" fontId="8" fillId="0" borderId="1" xfId="0" quotePrefix="1" applyNumberFormat="1" applyFont="1" applyFill="1" applyBorder="1" applyAlignment="1">
      <alignment horizontal="center" vertical="top"/>
    </xf>
    <xf numFmtId="0" fontId="39" fillId="0" borderId="1" xfId="0" applyNumberFormat="1" applyFont="1" applyFill="1" applyBorder="1" applyAlignment="1">
      <alignment horizontal="center" vertical="top"/>
    </xf>
    <xf numFmtId="164" fontId="7" fillId="0" borderId="1" xfId="0" applyNumberFormat="1" applyFont="1" applyFill="1" applyBorder="1" applyAlignment="1">
      <alignment horizontal="right" vertical="center"/>
    </xf>
    <xf numFmtId="164" fontId="17" fillId="0" borderId="1" xfId="2" quotePrefix="1" applyNumberFormat="1" applyFont="1" applyFill="1" applyBorder="1" applyAlignment="1">
      <alignment vertical="top"/>
    </xf>
    <xf numFmtId="164" fontId="7" fillId="0" borderId="1" xfId="0" applyNumberFormat="1" applyFont="1" applyFill="1" applyBorder="1" applyAlignment="1">
      <alignment vertical="center"/>
    </xf>
    <xf numFmtId="0" fontId="7" fillId="0" borderId="4" xfId="0" quotePrefix="1" applyFont="1" applyFill="1" applyBorder="1" applyAlignment="1">
      <alignment vertical="top" wrapText="1"/>
    </xf>
    <xf numFmtId="0" fontId="17" fillId="0" borderId="8" xfId="0" applyFont="1" applyFill="1" applyBorder="1" applyAlignment="1">
      <alignment vertical="top" wrapText="1"/>
    </xf>
    <xf numFmtId="164" fontId="17" fillId="0" borderId="4" xfId="2" quotePrefix="1" applyNumberFormat="1" applyFont="1" applyFill="1" applyBorder="1" applyAlignment="1">
      <alignment vertical="top"/>
    </xf>
    <xf numFmtId="3" fontId="7" fillId="0" borderId="4" xfId="0" applyNumberFormat="1" applyFont="1" applyFill="1" applyBorder="1" applyAlignment="1">
      <alignment vertical="top"/>
    </xf>
    <xf numFmtId="0" fontId="7" fillId="0" borderId="4" xfId="0" applyNumberFormat="1" applyFont="1" applyFill="1" applyBorder="1" applyAlignment="1">
      <alignment vertical="top"/>
    </xf>
    <xf numFmtId="169" fontId="7" fillId="0" borderId="4" xfId="0" applyNumberFormat="1" applyFont="1" applyFill="1" applyBorder="1" applyAlignment="1">
      <alignment vertical="top"/>
    </xf>
    <xf numFmtId="164" fontId="17" fillId="0" borderId="4" xfId="2" quotePrefix="1" applyNumberFormat="1" applyFont="1" applyFill="1" applyBorder="1" applyAlignment="1">
      <alignment horizontal="center" vertical="top"/>
    </xf>
    <xf numFmtId="167" fontId="7" fillId="0" borderId="4" xfId="0" applyNumberFormat="1" applyFont="1" applyFill="1" applyBorder="1" applyAlignment="1">
      <alignment vertical="top"/>
    </xf>
    <xf numFmtId="0" fontId="8" fillId="0" borderId="4" xfId="0" applyNumberFormat="1" applyFont="1" applyFill="1" applyBorder="1" applyAlignment="1">
      <alignment vertical="top"/>
    </xf>
    <xf numFmtId="167" fontId="8" fillId="0" borderId="4" xfId="0" applyNumberFormat="1" applyFont="1" applyFill="1" applyBorder="1" applyAlignment="1">
      <alignment vertical="top"/>
    </xf>
    <xf numFmtId="0" fontId="21" fillId="0" borderId="1" xfId="2" quotePrefix="1" applyNumberFormat="1" applyFont="1" applyFill="1" applyBorder="1" applyAlignment="1">
      <alignment vertical="top"/>
    </xf>
    <xf numFmtId="0" fontId="21" fillId="0" borderId="1" xfId="2" quotePrefix="1" applyNumberFormat="1" applyFont="1" applyFill="1" applyBorder="1" applyAlignment="1">
      <alignment horizontal="center" vertical="top"/>
    </xf>
    <xf numFmtId="1" fontId="21" fillId="0" borderId="1" xfId="2" applyNumberFormat="1" applyFont="1" applyFill="1" applyBorder="1" applyAlignment="1">
      <alignment vertical="top" wrapText="1"/>
    </xf>
    <xf numFmtId="1" fontId="21" fillId="0" borderId="1" xfId="2" applyNumberFormat="1" applyFont="1" applyFill="1" applyBorder="1" applyAlignment="1">
      <alignment horizontal="center" vertical="top" wrapText="1"/>
    </xf>
    <xf numFmtId="41" fontId="8" fillId="9" borderId="1" xfId="1" applyFont="1" applyFill="1" applyBorder="1" applyAlignment="1">
      <alignment horizontal="center" vertical="center" wrapText="1"/>
    </xf>
    <xf numFmtId="0" fontId="17" fillId="9" borderId="1" xfId="0" applyFont="1" applyFill="1" applyBorder="1" applyAlignment="1">
      <alignment horizontal="left" vertical="center" wrapText="1"/>
    </xf>
    <xf numFmtId="0" fontId="7" fillId="0" borderId="7" xfId="0" applyFont="1" applyBorder="1" applyAlignment="1">
      <alignment horizontal="left" vertical="center"/>
    </xf>
    <xf numFmtId="0" fontId="7" fillId="0" borderId="15" xfId="0" applyFont="1" applyBorder="1" applyAlignment="1">
      <alignment horizontal="left" vertical="center"/>
    </xf>
    <xf numFmtId="0" fontId="7" fillId="0" borderId="8" xfId="0" applyFont="1" applyBorder="1" applyAlignment="1">
      <alignment horizontal="left" vertical="center"/>
    </xf>
    <xf numFmtId="0" fontId="7" fillId="9" borderId="1" xfId="0" quotePrefix="1" applyFont="1" applyFill="1" applyBorder="1" applyAlignment="1">
      <alignment vertical="top" wrapText="1"/>
    </xf>
    <xf numFmtId="0" fontId="23" fillId="9" borderId="1" xfId="0" applyFont="1" applyFill="1" applyBorder="1" applyAlignment="1">
      <alignment vertical="top" wrapText="1"/>
    </xf>
    <xf numFmtId="9" fontId="7" fillId="9" borderId="1" xfId="3" applyFont="1" applyFill="1" applyBorder="1" applyAlignment="1">
      <alignment horizontal="center" vertical="center"/>
    </xf>
    <xf numFmtId="41" fontId="7" fillId="9" borderId="1" xfId="1" applyFont="1" applyFill="1" applyBorder="1" applyAlignment="1">
      <alignment vertical="center"/>
    </xf>
    <xf numFmtId="0" fontId="7" fillId="9" borderId="1" xfId="0" applyNumberFormat="1" applyFont="1" applyFill="1" applyBorder="1" applyAlignment="1">
      <alignment horizontal="center" vertical="center" wrapText="1"/>
    </xf>
    <xf numFmtId="164" fontId="7" fillId="9" borderId="1" xfId="2" applyNumberFormat="1" applyFont="1" applyFill="1" applyBorder="1" applyAlignment="1">
      <alignment vertical="center" wrapText="1"/>
    </xf>
    <xf numFmtId="0" fontId="7" fillId="9" borderId="1" xfId="0" applyNumberFormat="1" applyFont="1" applyFill="1" applyBorder="1" applyAlignment="1">
      <alignment horizontal="center" vertical="center"/>
    </xf>
    <xf numFmtId="41" fontId="7" fillId="9" borderId="1" xfId="1" applyFont="1" applyFill="1" applyBorder="1" applyAlignment="1">
      <alignment horizontal="center" vertical="center"/>
    </xf>
    <xf numFmtId="41" fontId="7" fillId="9" borderId="1" xfId="1" applyFont="1" applyFill="1" applyBorder="1" applyAlignment="1">
      <alignment horizontal="center" vertical="center" wrapText="1"/>
    </xf>
    <xf numFmtId="41"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9" fontId="7" fillId="9" borderId="1" xfId="0" applyNumberFormat="1" applyFont="1" applyFill="1" applyBorder="1" applyAlignment="1">
      <alignment horizontal="center" vertical="top" wrapText="1"/>
    </xf>
    <xf numFmtId="0" fontId="7" fillId="9" borderId="1" xfId="0" applyFont="1" applyFill="1" applyBorder="1" applyAlignment="1">
      <alignment horizontal="center" vertical="top" wrapText="1"/>
    </xf>
    <xf numFmtId="0" fontId="8" fillId="9" borderId="1" xfId="0" applyFont="1" applyFill="1" applyBorder="1" applyAlignment="1">
      <alignment horizontal="center" vertical="center" wrapText="1"/>
    </xf>
    <xf numFmtId="0" fontId="8" fillId="9" borderId="1" xfId="0" applyNumberFormat="1" applyFont="1" applyFill="1" applyBorder="1" applyAlignment="1">
      <alignment horizontal="center" vertical="center" wrapText="1"/>
    </xf>
    <xf numFmtId="9" fontId="8" fillId="9" borderId="1" xfId="0" applyNumberFormat="1" applyFont="1" applyFill="1" applyBorder="1" applyAlignment="1">
      <alignment horizontal="center" vertical="top" wrapText="1"/>
    </xf>
    <xf numFmtId="0" fontId="8" fillId="9" borderId="1" xfId="0" applyFont="1" applyFill="1" applyBorder="1" applyAlignment="1">
      <alignment horizontal="center" vertical="top" wrapText="1"/>
    </xf>
    <xf numFmtId="3" fontId="8" fillId="9" borderId="1" xfId="0" applyNumberFormat="1" applyFont="1" applyFill="1" applyBorder="1" applyAlignment="1">
      <alignment horizontal="center" vertical="center" wrapText="1"/>
    </xf>
    <xf numFmtId="41" fontId="8" fillId="9" borderId="1" xfId="0" applyNumberFormat="1" applyFont="1" applyFill="1" applyBorder="1" applyAlignment="1">
      <alignment horizontal="center" vertical="center" wrapText="1"/>
    </xf>
    <xf numFmtId="10" fontId="8" fillId="9" borderId="1" xfId="3" applyNumberFormat="1" applyFont="1" applyFill="1" applyBorder="1" applyAlignment="1">
      <alignment horizontal="center" vertical="center" wrapText="1"/>
    </xf>
    <xf numFmtId="0" fontId="15" fillId="9" borderId="1" xfId="0" applyFont="1" applyFill="1" applyBorder="1" applyAlignment="1">
      <alignment vertical="top" wrapText="1"/>
    </xf>
    <xf numFmtId="0" fontId="23" fillId="9" borderId="1" xfId="0" applyFont="1" applyFill="1" applyBorder="1" applyAlignment="1">
      <alignment horizontal="left" vertical="top" wrapText="1"/>
    </xf>
    <xf numFmtId="43" fontId="7" fillId="9" borderId="1" xfId="1" applyNumberFormat="1" applyFont="1" applyFill="1" applyBorder="1" applyAlignment="1">
      <alignment horizontal="center" vertical="center"/>
    </xf>
    <xf numFmtId="0" fontId="21" fillId="9" borderId="1" xfId="0" applyNumberFormat="1" applyFont="1" applyFill="1" applyBorder="1" applyAlignment="1">
      <alignment horizontal="center" vertical="center" wrapText="1"/>
    </xf>
    <xf numFmtId="9" fontId="8" fillId="9" borderId="1" xfId="0" applyNumberFormat="1" applyFont="1" applyFill="1" applyBorder="1" applyAlignment="1">
      <alignment horizontal="center" vertical="center" wrapText="1"/>
    </xf>
    <xf numFmtId="0" fontId="8" fillId="9" borderId="1" xfId="0" applyNumberFormat="1" applyFont="1" applyFill="1" applyBorder="1" applyAlignment="1">
      <alignment horizontal="center" vertical="top" wrapText="1"/>
    </xf>
    <xf numFmtId="43" fontId="8" fillId="0" borderId="1" xfId="1" applyNumberFormat="1" applyFont="1" applyFill="1" applyBorder="1" applyAlignment="1">
      <alignment horizontal="center" vertical="center"/>
    </xf>
    <xf numFmtId="41" fontId="8" fillId="0" borderId="1" xfId="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top" wrapText="1"/>
    </xf>
    <xf numFmtId="9" fontId="7" fillId="9" borderId="1" xfId="0" applyNumberFormat="1" applyFont="1" applyFill="1" applyBorder="1" applyAlignment="1">
      <alignment horizontal="center" vertical="center" wrapText="1"/>
    </xf>
    <xf numFmtId="166" fontId="7" fillId="9" borderId="1" xfId="1" quotePrefix="1" applyNumberFormat="1" applyFont="1" applyFill="1" applyBorder="1" applyAlignment="1">
      <alignment horizontal="center" vertical="center" wrapText="1"/>
    </xf>
    <xf numFmtId="9" fontId="7" fillId="9" borderId="1" xfId="0" quotePrefix="1" applyNumberFormat="1" applyFont="1" applyFill="1" applyBorder="1" applyAlignment="1">
      <alignment horizontal="center" vertical="center" wrapText="1"/>
    </xf>
    <xf numFmtId="166" fontId="7" fillId="9" borderId="1" xfId="1" applyNumberFormat="1" applyFont="1" applyFill="1" applyBorder="1" applyAlignment="1">
      <alignment horizontal="center" vertical="center" wrapText="1"/>
    </xf>
    <xf numFmtId="0" fontId="7" fillId="9" borderId="1" xfId="0" applyNumberFormat="1" applyFont="1" applyFill="1" applyBorder="1" applyAlignment="1">
      <alignment horizontal="center" vertical="top" wrapText="1"/>
    </xf>
    <xf numFmtId="0" fontId="21" fillId="0" borderId="1" xfId="0" applyFont="1" applyFill="1" applyBorder="1" applyAlignment="1">
      <alignment horizontal="left" vertical="top" wrapText="1" indent="1"/>
    </xf>
    <xf numFmtId="41" fontId="7" fillId="0" borderId="1" xfId="1" quotePrefix="1" applyFont="1" applyFill="1" applyBorder="1" applyAlignment="1">
      <alignment vertical="center" wrapText="1"/>
    </xf>
    <xf numFmtId="41" fontId="7" fillId="0" borderId="1" xfId="1" quotePrefix="1" applyFont="1" applyFill="1" applyBorder="1" applyAlignment="1">
      <alignment vertical="top" wrapText="1"/>
    </xf>
    <xf numFmtId="41" fontId="7" fillId="0" borderId="1" xfId="1" applyFont="1" applyFill="1" applyBorder="1" applyAlignment="1">
      <alignment horizontal="center" vertical="center" wrapText="1"/>
    </xf>
    <xf numFmtId="9" fontId="7" fillId="0" borderId="1" xfId="0" applyNumberFormat="1" applyFont="1" applyFill="1" applyBorder="1" applyAlignment="1">
      <alignment horizontal="center" vertical="top" wrapText="1"/>
    </xf>
    <xf numFmtId="0" fontId="8" fillId="9" borderId="1" xfId="0" applyFont="1" applyFill="1" applyBorder="1"/>
    <xf numFmtId="0" fontId="7" fillId="9" borderId="1" xfId="0" applyFont="1" applyFill="1" applyBorder="1" applyAlignment="1">
      <alignment horizontal="left" vertical="top" wrapText="1"/>
    </xf>
    <xf numFmtId="164" fontId="7" fillId="9" borderId="1" xfId="1" quotePrefix="1" applyNumberFormat="1" applyFont="1" applyFill="1" applyBorder="1" applyAlignment="1">
      <alignment vertical="center"/>
    </xf>
    <xf numFmtId="41" fontId="7" fillId="9" borderId="1" xfId="1" quotePrefix="1" applyFont="1" applyFill="1" applyBorder="1" applyAlignment="1">
      <alignment horizontal="center" vertical="center"/>
    </xf>
    <xf numFmtId="0" fontId="7" fillId="9" borderId="1" xfId="5" applyNumberFormat="1" applyFont="1" applyFill="1" applyBorder="1" applyAlignment="1">
      <alignment horizontal="center" vertical="center" wrapText="1"/>
    </xf>
    <xf numFmtId="164" fontId="8" fillId="9" borderId="1" xfId="2" applyNumberFormat="1" applyFont="1" applyFill="1" applyBorder="1" applyAlignment="1">
      <alignment horizontal="center" vertical="center" wrapText="1"/>
    </xf>
    <xf numFmtId="0" fontId="8" fillId="9" borderId="1" xfId="5" applyNumberFormat="1" applyFont="1" applyFill="1" applyBorder="1" applyAlignment="1">
      <alignment horizontal="center" vertical="center" wrapText="1"/>
    </xf>
    <xf numFmtId="9" fontId="7" fillId="9" borderId="1" xfId="1" quotePrefix="1" applyNumberFormat="1" applyFont="1" applyFill="1" applyBorder="1" applyAlignment="1">
      <alignment horizontal="center" vertical="center"/>
    </xf>
    <xf numFmtId="0" fontId="8" fillId="9" borderId="1" xfId="3" applyNumberFormat="1" applyFont="1" applyFill="1" applyBorder="1" applyAlignment="1">
      <alignment horizontal="center" vertical="center"/>
    </xf>
    <xf numFmtId="41" fontId="8" fillId="9" borderId="1" xfId="1" applyFont="1" applyFill="1" applyBorder="1" applyAlignment="1">
      <alignment horizontal="center" vertical="center"/>
    </xf>
    <xf numFmtId="164" fontId="8" fillId="9" borderId="1" xfId="1" applyNumberFormat="1" applyFont="1" applyFill="1" applyBorder="1" applyAlignment="1">
      <alignment horizontal="center" vertical="center"/>
    </xf>
    <xf numFmtId="0" fontId="8" fillId="9" borderId="1" xfId="2" applyNumberFormat="1" applyFont="1" applyFill="1" applyBorder="1" applyAlignment="1">
      <alignment horizontal="center" vertical="center" wrapText="1"/>
    </xf>
    <xf numFmtId="0" fontId="8" fillId="9" borderId="1" xfId="3" quotePrefix="1" applyNumberFormat="1" applyFont="1" applyFill="1" applyBorder="1" applyAlignment="1">
      <alignment horizontal="center" vertical="center" wrapText="1"/>
    </xf>
    <xf numFmtId="41" fontId="8" fillId="9" borderId="1" xfId="1" quotePrefix="1" applyFont="1" applyFill="1" applyBorder="1" applyAlignment="1">
      <alignment horizontal="center" vertical="center" wrapText="1"/>
    </xf>
    <xf numFmtId="0" fontId="8" fillId="9" borderId="1" xfId="3" applyNumberFormat="1" applyFont="1" applyFill="1" applyBorder="1" applyAlignment="1">
      <alignment horizontal="center" vertical="center" wrapText="1"/>
    </xf>
    <xf numFmtId="164" fontId="8" fillId="9" borderId="1" xfId="1" applyNumberFormat="1" applyFont="1" applyFill="1" applyBorder="1" applyAlignment="1">
      <alignment horizontal="right" vertical="top"/>
    </xf>
    <xf numFmtId="0" fontId="8" fillId="9" borderId="1" xfId="5" quotePrefix="1" applyNumberFormat="1" applyFont="1" applyFill="1" applyBorder="1" applyAlignment="1">
      <alignment horizontal="center" vertical="center" wrapText="1"/>
    </xf>
    <xf numFmtId="41" fontId="7" fillId="9" borderId="1" xfId="1" quotePrefix="1" applyFont="1" applyFill="1" applyBorder="1" applyAlignment="1">
      <alignment horizontal="center" vertical="center" wrapText="1"/>
    </xf>
    <xf numFmtId="0" fontId="8" fillId="9" borderId="1" xfId="0" applyNumberFormat="1" applyFont="1" applyFill="1" applyBorder="1" applyAlignment="1">
      <alignment horizontal="center" vertical="center"/>
    </xf>
    <xf numFmtId="9" fontId="7" fillId="9" borderId="1" xfId="1" applyNumberFormat="1" applyFont="1" applyFill="1" applyBorder="1" applyAlignment="1">
      <alignment horizontal="center" vertical="center"/>
    </xf>
    <xf numFmtId="166" fontId="7" fillId="9" borderId="1" xfId="1" applyNumberFormat="1" applyFont="1" applyFill="1" applyBorder="1" applyAlignment="1">
      <alignment horizontal="center" vertical="center"/>
    </xf>
    <xf numFmtId="0" fontId="15" fillId="9" borderId="1" xfId="0" applyFont="1" applyFill="1" applyBorder="1" applyAlignment="1">
      <alignment horizontal="left" vertical="top" wrapText="1" indent="1"/>
    </xf>
    <xf numFmtId="0" fontId="8" fillId="9" borderId="1" xfId="1" applyNumberFormat="1" applyFont="1" applyFill="1" applyBorder="1" applyAlignment="1">
      <alignment horizontal="center" vertical="center"/>
    </xf>
    <xf numFmtId="0" fontId="15" fillId="9" borderId="1" xfId="0" applyFont="1" applyFill="1" applyBorder="1" applyAlignment="1">
      <alignment horizontal="center" vertical="center" wrapText="1"/>
    </xf>
    <xf numFmtId="41" fontId="15" fillId="9" borderId="1" xfId="1" applyFont="1" applyFill="1" applyBorder="1" applyAlignment="1">
      <alignment horizontal="center" vertical="center" wrapText="1"/>
    </xf>
    <xf numFmtId="0" fontId="15" fillId="9" borderId="1" xfId="0" applyNumberFormat="1" applyFont="1" applyFill="1" applyBorder="1" applyAlignment="1">
      <alignment horizontal="center" vertical="center" wrapText="1"/>
    </xf>
    <xf numFmtId="3" fontId="23" fillId="9" borderId="1" xfId="0" applyNumberFormat="1" applyFont="1" applyFill="1" applyBorder="1" applyAlignment="1">
      <alignment horizontal="center" vertical="center" wrapText="1"/>
    </xf>
    <xf numFmtId="41" fontId="23" fillId="9" borderId="1" xfId="0" applyNumberFormat="1" applyFont="1" applyFill="1" applyBorder="1" applyAlignment="1">
      <alignment horizontal="center" vertical="center" wrapText="1"/>
    </xf>
    <xf numFmtId="43" fontId="8" fillId="9" borderId="1" xfId="2" applyFont="1" applyFill="1" applyBorder="1" applyAlignment="1">
      <alignment horizontal="center" vertical="center" wrapText="1"/>
    </xf>
    <xf numFmtId="0" fontId="23" fillId="9" borderId="2" xfId="0" applyFont="1" applyFill="1" applyBorder="1" applyAlignment="1">
      <alignment vertical="top" wrapText="1"/>
    </xf>
    <xf numFmtId="0" fontId="21" fillId="0" borderId="0" xfId="0" applyFont="1" applyFill="1" applyAlignment="1">
      <alignment vertical="top"/>
    </xf>
    <xf numFmtId="0" fontId="17" fillId="0" borderId="0" xfId="0" applyFont="1" applyFill="1" applyAlignment="1">
      <alignment vertical="center"/>
    </xf>
    <xf numFmtId="0" fontId="21" fillId="9" borderId="1" xfId="0" applyFont="1" applyFill="1" applyBorder="1" applyAlignment="1">
      <alignment vertical="top"/>
    </xf>
    <xf numFmtId="0" fontId="17" fillId="21" borderId="1" xfId="0" applyFont="1" applyFill="1" applyBorder="1" applyAlignment="1">
      <alignment horizontal="center" vertical="top"/>
    </xf>
    <xf numFmtId="0" fontId="17" fillId="21" borderId="1" xfId="0" applyFont="1" applyFill="1" applyBorder="1" applyAlignment="1">
      <alignment vertical="top" wrapText="1"/>
    </xf>
    <xf numFmtId="41" fontId="17" fillId="21" borderId="1" xfId="4" applyFont="1" applyFill="1" applyBorder="1" applyAlignment="1">
      <alignment horizontal="right" vertical="top"/>
    </xf>
    <xf numFmtId="41" fontId="17" fillId="21" borderId="1" xfId="4" applyFont="1" applyFill="1" applyBorder="1" applyAlignment="1">
      <alignment vertical="top"/>
    </xf>
    <xf numFmtId="2" fontId="21" fillId="9" borderId="4" xfId="0" applyNumberFormat="1" applyFont="1" applyFill="1" applyBorder="1" applyAlignment="1">
      <alignment horizontal="right" vertical="top"/>
    </xf>
    <xf numFmtId="167" fontId="21" fillId="9" borderId="1" xfId="4" applyNumberFormat="1" applyFont="1" applyFill="1" applyBorder="1" applyAlignment="1">
      <alignment horizontal="right" vertical="top" wrapText="1"/>
    </xf>
    <xf numFmtId="0" fontId="21" fillId="9" borderId="1" xfId="0" applyFont="1" applyFill="1" applyBorder="1"/>
    <xf numFmtId="0" fontId="21" fillId="9" borderId="1" xfId="0" applyFont="1" applyFill="1" applyBorder="1" applyAlignment="1"/>
    <xf numFmtId="0" fontId="17" fillId="21" borderId="4" xfId="0" applyFont="1" applyFill="1" applyBorder="1" applyAlignment="1">
      <alignment horizontal="center" vertical="top"/>
    </xf>
    <xf numFmtId="0" fontId="17" fillId="21" borderId="4" xfId="0" applyFont="1" applyFill="1" applyBorder="1" applyAlignment="1">
      <alignment vertical="top" wrapText="1"/>
    </xf>
    <xf numFmtId="167" fontId="17" fillId="21" borderId="4" xfId="1" applyNumberFormat="1" applyFont="1" applyFill="1" applyBorder="1" applyAlignment="1">
      <alignment horizontal="right" vertical="top"/>
    </xf>
    <xf numFmtId="0" fontId="17" fillId="21" borderId="4" xfId="0" applyFont="1" applyFill="1" applyBorder="1" applyAlignment="1">
      <alignment vertical="top"/>
    </xf>
    <xf numFmtId="0" fontId="17" fillId="21" borderId="1" xfId="0" applyFont="1" applyFill="1" applyBorder="1" applyAlignment="1">
      <alignment horizontal="center" vertical="top" wrapText="1"/>
    </xf>
    <xf numFmtId="2" fontId="17" fillId="21" borderId="1" xfId="0" applyNumberFormat="1" applyFont="1" applyFill="1" applyBorder="1" applyAlignment="1">
      <alignment horizontal="right" vertical="top"/>
    </xf>
    <xf numFmtId="166" fontId="17" fillId="21" borderId="1" xfId="4" applyNumberFormat="1" applyFont="1" applyFill="1" applyBorder="1" applyAlignment="1">
      <alignment horizontal="right" vertical="top"/>
    </xf>
    <xf numFmtId="0" fontId="21" fillId="21" borderId="4" xfId="0" quotePrefix="1" applyFont="1" applyFill="1" applyBorder="1" applyAlignment="1">
      <alignment horizontal="center" vertical="top"/>
    </xf>
    <xf numFmtId="0" fontId="7" fillId="0" borderId="0" xfId="0" applyFont="1" applyAlignment="1">
      <alignment horizontal="center" vertical="top"/>
    </xf>
    <xf numFmtId="41" fontId="21" fillId="9" borderId="4" xfId="4" quotePrefix="1" applyFont="1" applyFill="1" applyBorder="1" applyAlignment="1">
      <alignment horizontal="right" vertical="top"/>
    </xf>
    <xf numFmtId="0" fontId="21" fillId="9" borderId="1" xfId="0" applyNumberFormat="1" applyFont="1" applyFill="1" applyBorder="1" applyAlignment="1">
      <alignment horizontal="right" vertical="top"/>
    </xf>
    <xf numFmtId="168" fontId="21" fillId="9" borderId="1" xfId="0" quotePrefix="1" applyNumberFormat="1" applyFont="1" applyFill="1" applyBorder="1" applyAlignment="1">
      <alignment horizontal="right" vertical="top"/>
    </xf>
    <xf numFmtId="0" fontId="17" fillId="21" borderId="4" xfId="0" applyFont="1" applyFill="1" applyBorder="1" applyAlignment="1">
      <alignment horizontal="right" vertical="top"/>
    </xf>
    <xf numFmtId="168" fontId="17" fillId="21" borderId="4" xfId="0" applyNumberFormat="1" applyFont="1" applyFill="1" applyBorder="1" applyAlignment="1">
      <alignment horizontal="right" vertical="top"/>
    </xf>
    <xf numFmtId="0" fontId="21" fillId="9" borderId="1" xfId="0" quotePrefix="1" applyNumberFormat="1" applyFont="1" applyFill="1" applyBorder="1" applyAlignment="1">
      <alignment horizontal="right" vertical="top"/>
    </xf>
    <xf numFmtId="0" fontId="21" fillId="21" borderId="1" xfId="0" quotePrefix="1" applyFont="1" applyFill="1" applyBorder="1" applyAlignment="1">
      <alignment horizontal="center" vertical="top"/>
    </xf>
    <xf numFmtId="0" fontId="17" fillId="21" borderId="1" xfId="0" applyFont="1" applyFill="1" applyBorder="1" applyAlignment="1">
      <alignment horizontal="right" vertical="top"/>
    </xf>
    <xf numFmtId="0" fontId="17" fillId="9" borderId="1" xfId="0" applyFont="1" applyFill="1" applyBorder="1" applyAlignment="1">
      <alignment horizontal="right" vertical="top"/>
    </xf>
    <xf numFmtId="0" fontId="8" fillId="0" borderId="0" xfId="0" applyFont="1" applyAlignment="1">
      <alignment horizontal="right" vertical="top"/>
    </xf>
    <xf numFmtId="0" fontId="8" fillId="6" borderId="1" xfId="0" applyFont="1" applyFill="1" applyBorder="1" applyAlignment="1">
      <alignment horizontal="right" vertical="center"/>
    </xf>
    <xf numFmtId="0" fontId="8" fillId="7" borderId="1" xfId="0" applyFont="1" applyFill="1" applyBorder="1" applyAlignment="1">
      <alignment horizontal="right" vertical="center"/>
    </xf>
    <xf numFmtId="0" fontId="8" fillId="8" borderId="1" xfId="0" applyFont="1" applyFill="1" applyBorder="1" applyAlignment="1">
      <alignment horizontal="right" vertical="center"/>
    </xf>
    <xf numFmtId="0" fontId="21" fillId="21" borderId="1" xfId="0" applyFont="1" applyFill="1" applyBorder="1" applyAlignment="1">
      <alignment horizontal="center" vertical="top"/>
    </xf>
    <xf numFmtId="164" fontId="8" fillId="0" borderId="0" xfId="2" applyNumberFormat="1" applyFont="1" applyAlignment="1">
      <alignment vertical="top"/>
    </xf>
    <xf numFmtId="164" fontId="7" fillId="5" borderId="1" xfId="2" applyNumberFormat="1" applyFont="1" applyFill="1" applyBorder="1" applyAlignment="1">
      <alignment horizontal="center" vertical="top"/>
    </xf>
    <xf numFmtId="164" fontId="8" fillId="6" borderId="1" xfId="2" applyNumberFormat="1" applyFont="1" applyFill="1" applyBorder="1" applyAlignment="1">
      <alignment vertical="center"/>
    </xf>
    <xf numFmtId="164" fontId="8" fillId="7" borderId="1" xfId="2" applyNumberFormat="1" applyFont="1" applyFill="1" applyBorder="1" applyAlignment="1">
      <alignment vertical="center"/>
    </xf>
    <xf numFmtId="164" fontId="8" fillId="8" borderId="1" xfId="2" applyNumberFormat="1" applyFont="1" applyFill="1" applyBorder="1" applyAlignment="1">
      <alignment vertical="center"/>
    </xf>
    <xf numFmtId="164" fontId="17" fillId="21" borderId="1" xfId="2" applyNumberFormat="1" applyFont="1" applyFill="1" applyBorder="1" applyAlignment="1">
      <alignment vertical="top"/>
    </xf>
    <xf numFmtId="164" fontId="21" fillId="9" borderId="4" xfId="2" applyNumberFormat="1" applyFont="1" applyFill="1" applyBorder="1" applyAlignment="1">
      <alignment vertical="top"/>
    </xf>
    <xf numFmtId="0" fontId="8" fillId="0" borderId="12" xfId="0" applyFont="1" applyBorder="1" applyAlignment="1">
      <alignment horizontal="center" vertical="top"/>
    </xf>
    <xf numFmtId="0" fontId="8" fillId="0" borderId="13" xfId="0" applyFont="1" applyBorder="1" applyAlignment="1">
      <alignment horizontal="right" vertical="top"/>
    </xf>
    <xf numFmtId="0" fontId="21" fillId="9" borderId="1" xfId="0" applyFont="1" applyFill="1" applyBorder="1" applyAlignment="1">
      <alignment horizontal="center" vertical="top"/>
    </xf>
    <xf numFmtId="0" fontId="8" fillId="0" borderId="11" xfId="0" applyFont="1" applyBorder="1" applyAlignment="1">
      <alignment vertical="top"/>
    </xf>
    <xf numFmtId="0" fontId="8" fillId="0" borderId="13" xfId="0" applyFont="1" applyBorder="1" applyAlignment="1">
      <alignment vertical="top"/>
    </xf>
    <xf numFmtId="164" fontId="8" fillId="0" borderId="13" xfId="2" applyNumberFormat="1" applyFont="1" applyBorder="1" applyAlignment="1">
      <alignment vertical="top"/>
    </xf>
    <xf numFmtId="164" fontId="43" fillId="0" borderId="0" xfId="2" applyNumberFormat="1" applyFont="1" applyAlignment="1">
      <alignment vertical="top"/>
    </xf>
    <xf numFmtId="0" fontId="43" fillId="0" borderId="0" xfId="0" applyFont="1" applyAlignment="1">
      <alignment horizontal="right" vertical="top"/>
    </xf>
    <xf numFmtId="0" fontId="7" fillId="0" borderId="0" xfId="0" applyFont="1" applyFill="1" applyAlignment="1">
      <alignment horizontal="center" vertical="top"/>
    </xf>
    <xf numFmtId="164" fontId="43" fillId="0" borderId="0" xfId="2" applyNumberFormat="1" applyFont="1" applyAlignment="1">
      <alignment horizontal="center" vertical="top"/>
    </xf>
    <xf numFmtId="0" fontId="43" fillId="0" borderId="0" xfId="0" applyFont="1" applyAlignment="1">
      <alignment horizontal="center" vertical="top"/>
    </xf>
    <xf numFmtId="0" fontId="17" fillId="9" borderId="1" xfId="0" applyFont="1" applyFill="1" applyBorder="1" applyAlignment="1">
      <alignment horizontal="right" vertical="top"/>
    </xf>
    <xf numFmtId="0" fontId="7" fillId="0" borderId="1" xfId="0" applyFont="1" applyBorder="1" applyAlignment="1">
      <alignment horizontal="right" vertical="top"/>
    </xf>
    <xf numFmtId="0" fontId="8" fillId="0" borderId="1" xfId="0" applyFont="1" applyBorder="1" applyAlignment="1">
      <alignment horizontal="right" vertical="top"/>
    </xf>
    <xf numFmtId="0" fontId="8" fillId="0" borderId="11" xfId="0" applyFont="1" applyBorder="1" applyAlignment="1">
      <alignment horizontal="center" vertical="top"/>
    </xf>
    <xf numFmtId="0" fontId="8" fillId="0" borderId="13" xfId="0" applyFont="1" applyBorder="1" applyAlignment="1">
      <alignment horizontal="center" vertical="top"/>
    </xf>
    <xf numFmtId="0" fontId="8" fillId="0" borderId="12" xfId="0" applyFont="1" applyBorder="1" applyAlignment="1">
      <alignment horizontal="center" vertical="top"/>
    </xf>
    <xf numFmtId="0" fontId="8" fillId="0" borderId="2" xfId="0" quotePrefix="1" applyFont="1" applyFill="1" applyBorder="1" applyAlignment="1">
      <alignment horizontal="center" vertical="top"/>
    </xf>
    <xf numFmtId="0" fontId="8" fillId="0" borderId="4" xfId="0" quotePrefix="1" applyFont="1" applyFill="1" applyBorder="1" applyAlignment="1">
      <alignment horizontal="center" vertical="top"/>
    </xf>
    <xf numFmtId="0" fontId="8" fillId="0" borderId="2" xfId="0" applyFont="1" applyFill="1" applyBorder="1" applyAlignment="1">
      <alignment horizontal="center" vertical="top"/>
    </xf>
    <xf numFmtId="0" fontId="8" fillId="0" borderId="4" xfId="0" applyFont="1" applyFill="1" applyBorder="1" applyAlignment="1">
      <alignment horizontal="center" vertical="top"/>
    </xf>
    <xf numFmtId="0" fontId="21" fillId="9" borderId="11" xfId="0" applyFont="1" applyFill="1" applyBorder="1" applyAlignment="1">
      <alignment horizontal="center" vertical="top"/>
    </xf>
    <xf numFmtId="0" fontId="21" fillId="9" borderId="13" xfId="0" applyFont="1" applyFill="1" applyBorder="1" applyAlignment="1">
      <alignment horizontal="center" vertical="top"/>
    </xf>
    <xf numFmtId="0" fontId="21" fillId="9" borderId="12" xfId="0" applyFont="1" applyFill="1" applyBorder="1" applyAlignment="1">
      <alignment horizontal="center" vertical="top"/>
    </xf>
    <xf numFmtId="0" fontId="42" fillId="0" borderId="9" xfId="0" applyFont="1" applyBorder="1" applyAlignment="1">
      <alignment horizontal="left" vertical="top"/>
    </xf>
    <xf numFmtId="0" fontId="42" fillId="0" borderId="14" xfId="0" applyFont="1" applyBorder="1" applyAlignment="1">
      <alignment horizontal="left" vertical="top"/>
    </xf>
    <xf numFmtId="0" fontId="42" fillId="0" borderId="10" xfId="0" applyFont="1" applyBorder="1" applyAlignment="1">
      <alignment horizontal="left" vertical="top"/>
    </xf>
    <xf numFmtId="0" fontId="42" fillId="0" borderId="5" xfId="0" applyFont="1" applyBorder="1" applyAlignment="1">
      <alignment horizontal="left" vertical="top"/>
    </xf>
    <xf numFmtId="0" fontId="42" fillId="0" borderId="0" xfId="0" applyFont="1" applyBorder="1" applyAlignment="1">
      <alignment horizontal="left" vertical="top"/>
    </xf>
    <xf numFmtId="0" fontId="42" fillId="0" borderId="6" xfId="0" applyFont="1" applyBorder="1" applyAlignment="1">
      <alignment horizontal="left" vertical="top"/>
    </xf>
    <xf numFmtId="0" fontId="42" fillId="0" borderId="7" xfId="0" applyFont="1" applyBorder="1" applyAlignment="1">
      <alignment horizontal="left" vertical="top"/>
    </xf>
    <xf numFmtId="0" fontId="42" fillId="0" borderId="15" xfId="0" applyFont="1" applyBorder="1" applyAlignment="1">
      <alignment horizontal="left" vertical="top"/>
    </xf>
    <xf numFmtId="0" fontId="42" fillId="0" borderId="8" xfId="0" applyFont="1" applyBorder="1" applyAlignment="1">
      <alignment horizontal="left" vertical="top"/>
    </xf>
    <xf numFmtId="164" fontId="43" fillId="0" borderId="0" xfId="2" applyNumberFormat="1" applyFont="1" applyAlignment="1">
      <alignment horizontal="center" vertical="top"/>
    </xf>
    <xf numFmtId="164" fontId="40" fillId="0" borderId="0" xfId="2" applyNumberFormat="1" applyFont="1" applyAlignment="1">
      <alignment horizontal="center" vertical="top"/>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right" vertical="top"/>
    </xf>
    <xf numFmtId="0" fontId="8" fillId="0" borderId="1" xfId="0" applyFont="1" applyFill="1" applyBorder="1" applyAlignment="1">
      <alignment horizontal="center" vertical="top"/>
    </xf>
    <xf numFmtId="0" fontId="17" fillId="9" borderId="11" xfId="0" applyFont="1" applyFill="1" applyBorder="1" applyAlignment="1">
      <alignment horizontal="center" vertical="top"/>
    </xf>
    <xf numFmtId="0" fontId="17" fillId="9" borderId="13" xfId="0" applyFont="1" applyFill="1" applyBorder="1" applyAlignment="1">
      <alignment horizontal="center" vertical="top"/>
    </xf>
    <xf numFmtId="0" fontId="17" fillId="9" borderId="12" xfId="0" applyFont="1" applyFill="1" applyBorder="1" applyAlignment="1">
      <alignment horizontal="center" vertical="top"/>
    </xf>
    <xf numFmtId="0" fontId="43" fillId="0" borderId="0" xfId="0" applyFont="1" applyAlignment="1">
      <alignment horizontal="center" vertical="top"/>
    </xf>
    <xf numFmtId="0" fontId="40" fillId="0" borderId="0" xfId="0" applyFont="1" applyAlignment="1">
      <alignment horizontal="center" vertical="top"/>
    </xf>
    <xf numFmtId="0" fontId="41" fillId="0" borderId="0" xfId="0" applyFont="1" applyAlignment="1">
      <alignment horizontal="center" vertical="top"/>
    </xf>
    <xf numFmtId="0" fontId="7" fillId="5" borderId="9"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9" xfId="0" applyFont="1" applyFill="1" applyBorder="1" applyAlignment="1">
      <alignment horizontal="center" vertical="top"/>
    </xf>
    <xf numFmtId="0" fontId="7" fillId="5" borderId="10" xfId="0" applyFont="1" applyFill="1" applyBorder="1" applyAlignment="1">
      <alignment horizontal="center" vertical="top"/>
    </xf>
    <xf numFmtId="0" fontId="7" fillId="5" borderId="2" xfId="0" applyFont="1" applyFill="1" applyBorder="1" applyAlignment="1">
      <alignment horizontal="center" vertical="top"/>
    </xf>
    <xf numFmtId="0" fontId="7" fillId="5" borderId="4" xfId="0" applyFont="1" applyFill="1" applyBorder="1" applyAlignment="1">
      <alignment horizontal="center" vertical="top"/>
    </xf>
    <xf numFmtId="0" fontId="7" fillId="5" borderId="14" xfId="0" applyFont="1" applyFill="1" applyBorder="1" applyAlignment="1">
      <alignment horizontal="center" vertical="top"/>
    </xf>
    <xf numFmtId="0" fontId="7" fillId="5" borderId="7" xfId="0" applyFont="1" applyFill="1" applyBorder="1" applyAlignment="1">
      <alignment horizontal="center" vertical="top"/>
    </xf>
    <xf numFmtId="0" fontId="7" fillId="5" borderId="15" xfId="0" applyFont="1" applyFill="1" applyBorder="1" applyAlignment="1">
      <alignment horizontal="center" vertical="top"/>
    </xf>
    <xf numFmtId="0" fontId="7" fillId="5" borderId="8" xfId="0" applyFont="1" applyFill="1" applyBorder="1" applyAlignment="1">
      <alignment horizontal="center" vertical="top"/>
    </xf>
    <xf numFmtId="0" fontId="17" fillId="9" borderId="1" xfId="0" applyFont="1" applyFill="1" applyBorder="1" applyAlignment="1">
      <alignment horizontal="right" vertical="top"/>
    </xf>
    <xf numFmtId="0" fontId="7" fillId="5" borderId="2" xfId="0" quotePrefix="1" applyFont="1" applyFill="1" applyBorder="1" applyAlignment="1">
      <alignment horizontal="center" vertical="top"/>
    </xf>
    <xf numFmtId="0" fontId="7" fillId="5" borderId="4" xfId="0" quotePrefix="1" applyFont="1" applyFill="1" applyBorder="1" applyAlignment="1">
      <alignment horizontal="center" vertical="top"/>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1" fillId="0" borderId="2" xfId="0" applyFont="1" applyBorder="1" applyAlignment="1">
      <alignment vertical="top" wrapText="1"/>
    </xf>
    <xf numFmtId="0" fontId="21" fillId="0" borderId="4" xfId="0" applyFont="1" applyBorder="1" applyAlignment="1">
      <alignment vertical="top" wrapText="1"/>
    </xf>
    <xf numFmtId="0" fontId="7" fillId="5" borderId="9" xfId="0" applyFont="1" applyFill="1" applyBorder="1" applyAlignment="1">
      <alignment horizontal="right" vertical="top"/>
    </xf>
    <xf numFmtId="0" fontId="7" fillId="5" borderId="10" xfId="0" applyFont="1" applyFill="1" applyBorder="1" applyAlignment="1">
      <alignment horizontal="right" vertical="top"/>
    </xf>
    <xf numFmtId="0" fontId="8" fillId="0" borderId="3" xfId="0" quotePrefix="1" applyFont="1" applyFill="1" applyBorder="1" applyAlignment="1">
      <alignment horizontal="center" vertical="top"/>
    </xf>
    <xf numFmtId="0" fontId="8" fillId="0" borderId="3" xfId="0" applyFont="1" applyFill="1" applyBorder="1" applyAlignment="1">
      <alignment horizontal="left" vertical="top" wrapText="1"/>
    </xf>
    <xf numFmtId="0" fontId="7" fillId="0" borderId="2" xfId="0" applyFont="1" applyFill="1" applyBorder="1" applyAlignment="1">
      <alignment horizontal="center" vertical="top"/>
    </xf>
    <xf numFmtId="0" fontId="7" fillId="0" borderId="3" xfId="0" applyFont="1" applyFill="1" applyBorder="1" applyAlignment="1">
      <alignment horizontal="center" vertical="top"/>
    </xf>
    <xf numFmtId="0" fontId="7" fillId="0" borderId="4" xfId="0" applyFont="1" applyFill="1" applyBorder="1" applyAlignment="1">
      <alignment horizontal="center" vertical="top"/>
    </xf>
    <xf numFmtId="0" fontId="8" fillId="0" borderId="1" xfId="0" quotePrefix="1" applyFont="1" applyFill="1" applyBorder="1" applyAlignment="1">
      <alignment horizontal="center" vertical="top"/>
    </xf>
    <xf numFmtId="0" fontId="8" fillId="0" borderId="1" xfId="0" applyFont="1" applyFill="1" applyBorder="1" applyAlignment="1">
      <alignment horizontal="left" vertical="top" wrapText="1"/>
    </xf>
    <xf numFmtId="0" fontId="17" fillId="0" borderId="1" xfId="0" applyFont="1" applyBorder="1" applyAlignment="1">
      <alignment horizontal="right" vertical="top"/>
    </xf>
    <xf numFmtId="0" fontId="21" fillId="0" borderId="1" xfId="0" applyFont="1" applyBorder="1" applyAlignment="1">
      <alignment horizontal="right" vertical="top"/>
    </xf>
    <xf numFmtId="0" fontId="44" fillId="0" borderId="0" xfId="0" applyFont="1" applyAlignment="1">
      <alignment horizontal="center" vertical="top"/>
    </xf>
    <xf numFmtId="0" fontId="8" fillId="0" borderId="3" xfId="0" applyFont="1" applyFill="1" applyBorder="1" applyAlignment="1">
      <alignment horizontal="center" vertical="top"/>
    </xf>
    <xf numFmtId="0" fontId="7" fillId="0" borderId="0" xfId="0" applyFont="1" applyAlignment="1">
      <alignment horizontal="center" vertical="top"/>
    </xf>
    <xf numFmtId="0" fontId="8" fillId="0" borderId="81" xfId="0" applyFont="1" applyBorder="1" applyAlignment="1">
      <alignment horizontal="right"/>
    </xf>
    <xf numFmtId="0" fontId="8" fillId="0" borderId="82" xfId="0" applyFont="1" applyBorder="1" applyAlignment="1">
      <alignment horizontal="right"/>
    </xf>
    <xf numFmtId="0" fontId="8" fillId="0" borderId="77" xfId="0" applyFont="1" applyBorder="1" applyAlignment="1">
      <alignment horizontal="right"/>
    </xf>
    <xf numFmtId="0" fontId="8" fillId="0" borderId="126" xfId="0" applyFont="1" applyBorder="1" applyAlignment="1">
      <alignment horizontal="right"/>
    </xf>
    <xf numFmtId="0" fontId="7" fillId="0" borderId="1" xfId="0" applyFont="1" applyFill="1" applyBorder="1" applyAlignment="1">
      <alignment horizontal="right" vertical="top"/>
    </xf>
    <xf numFmtId="0" fontId="17" fillId="9" borderId="2" xfId="0" applyFont="1" applyFill="1" applyBorder="1" applyAlignment="1">
      <alignment horizontal="left" vertical="top" wrapText="1"/>
    </xf>
    <xf numFmtId="0" fontId="17" fillId="9" borderId="3" xfId="0" applyFont="1" applyFill="1" applyBorder="1" applyAlignment="1">
      <alignment horizontal="left" vertical="top" wrapText="1"/>
    </xf>
    <xf numFmtId="0" fontId="23" fillId="0" borderId="56" xfId="0" applyFont="1" applyBorder="1" applyAlignment="1">
      <alignment horizontal="left" vertical="top" wrapText="1"/>
    </xf>
    <xf numFmtId="0" fontId="23" fillId="0" borderId="68" xfId="0" applyFont="1" applyBorder="1" applyAlignment="1">
      <alignment horizontal="left" vertical="top" wrapText="1"/>
    </xf>
    <xf numFmtId="0" fontId="23" fillId="0" borderId="79" xfId="0" applyFont="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8" fillId="0" borderId="89" xfId="0" applyNumberFormat="1" applyFont="1" applyFill="1" applyBorder="1" applyAlignment="1">
      <alignment horizontal="center" vertical="center" wrapText="1"/>
    </xf>
    <xf numFmtId="3" fontId="8" fillId="0" borderId="89" xfId="0" applyNumberFormat="1" applyFont="1" applyFill="1" applyBorder="1" applyAlignment="1">
      <alignment horizontal="center" vertical="center" wrapText="1"/>
    </xf>
    <xf numFmtId="0" fontId="7" fillId="0" borderId="11" xfId="0" applyFont="1" applyFill="1" applyBorder="1" applyAlignment="1">
      <alignment horizontal="right" vertical="top"/>
    </xf>
    <xf numFmtId="0" fontId="7" fillId="0" borderId="13" xfId="0" applyFont="1" applyFill="1" applyBorder="1" applyAlignment="1">
      <alignment horizontal="right" vertical="top"/>
    </xf>
    <xf numFmtId="0" fontId="7" fillId="0" borderId="12" xfId="0" applyFont="1" applyFill="1" applyBorder="1" applyAlignment="1">
      <alignment horizontal="right" vertical="top"/>
    </xf>
    <xf numFmtId="3" fontId="8" fillId="0" borderId="89" xfId="1" applyNumberFormat="1" applyFont="1" applyFill="1" applyBorder="1" applyAlignment="1">
      <alignment horizontal="center" vertical="center" wrapText="1"/>
    </xf>
    <xf numFmtId="0" fontId="8" fillId="0" borderId="89" xfId="0" applyFont="1" applyFill="1" applyBorder="1" applyAlignment="1">
      <alignment horizontal="center" vertical="center" wrapText="1"/>
    </xf>
    <xf numFmtId="0" fontId="15" fillId="0" borderId="80" xfId="0" applyFont="1" applyFill="1" applyBorder="1" applyAlignment="1">
      <alignment horizontal="left" vertical="top" wrapText="1"/>
    </xf>
    <xf numFmtId="0" fontId="15" fillId="0" borderId="82" xfId="0" applyFont="1" applyFill="1" applyBorder="1" applyAlignment="1">
      <alignment horizontal="left" vertical="top" wrapText="1"/>
    </xf>
    <xf numFmtId="3" fontId="8" fillId="0" borderId="89" xfId="4" applyNumberFormat="1" applyFont="1" applyFill="1" applyBorder="1" applyAlignment="1">
      <alignment horizontal="center" vertical="center" wrapText="1"/>
    </xf>
    <xf numFmtId="0" fontId="7" fillId="0" borderId="14" xfId="0" applyFont="1" applyFill="1" applyBorder="1" applyAlignment="1">
      <alignment horizontal="right" vertical="top"/>
    </xf>
    <xf numFmtId="0" fontId="7" fillId="0" borderId="10" xfId="0" applyFont="1" applyFill="1" applyBorder="1" applyAlignment="1">
      <alignment horizontal="right" vertical="top"/>
    </xf>
    <xf numFmtId="0" fontId="15" fillId="0" borderId="80" xfId="0" applyFont="1" applyFill="1" applyBorder="1" applyAlignment="1">
      <alignment horizontal="center" vertical="top" wrapText="1"/>
    </xf>
    <xf numFmtId="0" fontId="15" fillId="0" borderId="82" xfId="0" applyFont="1" applyFill="1" applyBorder="1" applyAlignment="1">
      <alignment horizontal="center" vertical="top" wrapText="1"/>
    </xf>
    <xf numFmtId="0" fontId="15" fillId="0" borderId="81" xfId="0" applyFont="1" applyFill="1" applyBorder="1" applyAlignment="1">
      <alignment horizontal="left" vertical="top" wrapText="1"/>
    </xf>
    <xf numFmtId="10" fontId="8" fillId="0" borderId="89" xfId="0" applyNumberFormat="1" applyFont="1" applyFill="1" applyBorder="1" applyAlignment="1">
      <alignment horizontal="center" vertical="center" wrapText="1"/>
    </xf>
    <xf numFmtId="0" fontId="8" fillId="0" borderId="89" xfId="3" applyNumberFormat="1" applyFont="1" applyFill="1" applyBorder="1" applyAlignment="1">
      <alignment horizontal="center" vertical="center" wrapText="1"/>
    </xf>
    <xf numFmtId="3" fontId="8" fillId="9" borderId="89" xfId="1" applyNumberFormat="1" applyFont="1" applyFill="1" applyBorder="1" applyAlignment="1">
      <alignment horizontal="center" vertical="center" wrapText="1"/>
    </xf>
    <xf numFmtId="3" fontId="8" fillId="0" borderId="89" xfId="2" applyNumberFormat="1" applyFont="1" applyFill="1" applyBorder="1" applyAlignment="1">
      <alignment horizontal="center" vertical="center" wrapText="1"/>
    </xf>
    <xf numFmtId="0" fontId="15" fillId="0" borderId="89" xfId="0" applyFont="1" applyFill="1" applyBorder="1" applyAlignment="1">
      <alignment horizontal="left" vertical="center" wrapText="1"/>
    </xf>
    <xf numFmtId="46" fontId="8" fillId="0" borderId="89" xfId="0" applyNumberFormat="1" applyFont="1" applyFill="1" applyBorder="1" applyAlignment="1">
      <alignment horizontal="center" vertical="center" wrapText="1"/>
    </xf>
    <xf numFmtId="10" fontId="8" fillId="9" borderId="89" xfId="0" applyNumberFormat="1" applyFont="1" applyFill="1" applyBorder="1" applyAlignment="1">
      <alignment horizontal="center" vertical="center" wrapText="1"/>
    </xf>
    <xf numFmtId="0" fontId="8" fillId="9" borderId="89" xfId="0" applyFont="1" applyFill="1" applyBorder="1" applyAlignment="1">
      <alignment horizontal="center" vertical="center" wrapText="1"/>
    </xf>
    <xf numFmtId="9" fontId="8" fillId="0" borderId="89" xfId="0" applyNumberFormat="1" applyFont="1" applyFill="1" applyBorder="1" applyAlignment="1">
      <alignment horizontal="center" vertical="center" wrapText="1"/>
    </xf>
    <xf numFmtId="9" fontId="8" fillId="0" borderId="89" xfId="3" applyFont="1" applyFill="1" applyBorder="1" applyAlignment="1">
      <alignment horizontal="center" vertical="center" wrapText="1"/>
    </xf>
    <xf numFmtId="3" fontId="8" fillId="0" borderId="89" xfId="4" applyNumberFormat="1" applyFont="1" applyFill="1" applyBorder="1" applyAlignment="1">
      <alignment horizontal="center" vertical="center"/>
    </xf>
    <xf numFmtId="0" fontId="15" fillId="0" borderId="89" xfId="0" applyFont="1" applyFill="1" applyBorder="1" applyAlignment="1">
      <alignment vertical="center" wrapText="1"/>
    </xf>
    <xf numFmtId="3" fontId="8" fillId="9" borderId="89" xfId="1" applyNumberFormat="1" applyFont="1" applyFill="1" applyBorder="1" applyAlignment="1">
      <alignment horizontal="center" vertical="center"/>
    </xf>
    <xf numFmtId="3" fontId="8" fillId="0" borderId="89" xfId="1" applyNumberFormat="1" applyFont="1" applyFill="1" applyBorder="1" applyAlignment="1">
      <alignment horizontal="center" vertical="center"/>
    </xf>
    <xf numFmtId="20" fontId="8" fillId="0" borderId="89" xfId="0" applyNumberFormat="1" applyFont="1" applyFill="1" applyBorder="1" applyAlignment="1">
      <alignment horizontal="center" vertical="center" wrapText="1"/>
    </xf>
    <xf numFmtId="0" fontId="8" fillId="0" borderId="89" xfId="0" applyFont="1" applyFill="1" applyBorder="1" applyAlignment="1">
      <alignment horizontal="center" vertical="top" wrapText="1"/>
    </xf>
    <xf numFmtId="0" fontId="8" fillId="0" borderId="89" xfId="0" applyFont="1" applyFill="1" applyBorder="1" applyAlignment="1">
      <alignment horizontal="left" vertical="center" wrapText="1"/>
    </xf>
    <xf numFmtId="0" fontId="21" fillId="0" borderId="89" xfId="0" applyFont="1" applyFill="1" applyBorder="1" applyAlignment="1">
      <alignment vertical="center" wrapText="1"/>
    </xf>
    <xf numFmtId="0" fontId="7" fillId="0" borderId="89" xfId="0" applyNumberFormat="1" applyFont="1" applyFill="1" applyBorder="1" applyAlignment="1">
      <alignment horizontal="center" vertical="center" wrapText="1"/>
    </xf>
    <xf numFmtId="3" fontId="8" fillId="0" borderId="89" xfId="1" applyNumberFormat="1" applyFont="1" applyFill="1" applyBorder="1" applyAlignment="1">
      <alignment horizontal="right" vertical="center" wrapText="1"/>
    </xf>
    <xf numFmtId="0" fontId="8" fillId="0" borderId="89" xfId="1" applyNumberFormat="1" applyFont="1" applyFill="1" applyBorder="1" applyAlignment="1">
      <alignment horizontal="center" vertical="center" wrapText="1"/>
    </xf>
    <xf numFmtId="0" fontId="21" fillId="0" borderId="89" xfId="0" applyFont="1" applyFill="1" applyBorder="1" applyAlignment="1">
      <alignment horizontal="left" vertical="center" wrapText="1"/>
    </xf>
    <xf numFmtId="3" fontId="7" fillId="0" borderId="89" xfId="1" applyNumberFormat="1" applyFont="1" applyFill="1" applyBorder="1" applyAlignment="1">
      <alignment horizontal="center" vertical="center" wrapText="1"/>
    </xf>
    <xf numFmtId="3" fontId="7" fillId="0" borderId="89" xfId="0" applyNumberFormat="1" applyFont="1" applyFill="1" applyBorder="1" applyAlignment="1">
      <alignment horizontal="center" vertical="center" wrapText="1"/>
    </xf>
    <xf numFmtId="0" fontId="15" fillId="0" borderId="89" xfId="0" applyFont="1" applyFill="1" applyBorder="1" applyAlignment="1">
      <alignment horizontal="left" vertical="top" wrapText="1"/>
    </xf>
    <xf numFmtId="0" fontId="8" fillId="0" borderId="89" xfId="0" applyFont="1" applyFill="1" applyBorder="1" applyAlignment="1">
      <alignment horizontal="left" vertical="top" wrapText="1"/>
    </xf>
    <xf numFmtId="0" fontId="23" fillId="0" borderId="89" xfId="0" applyFont="1" applyFill="1" applyBorder="1" applyAlignment="1">
      <alignment horizontal="center" vertical="top" wrapText="1"/>
    </xf>
    <xf numFmtId="169" fontId="23" fillId="0" borderId="89" xfId="0" applyNumberFormat="1" applyFont="1" applyFill="1" applyBorder="1" applyAlignment="1">
      <alignment horizontal="center" vertical="top" wrapText="1"/>
    </xf>
    <xf numFmtId="41" fontId="23" fillId="0" borderId="89" xfId="0" applyNumberFormat="1" applyFont="1" applyFill="1" applyBorder="1" applyAlignment="1">
      <alignment horizontal="center" vertical="top" wrapText="1"/>
    </xf>
    <xf numFmtId="164" fontId="7" fillId="0" borderId="89" xfId="0" applyNumberFormat="1" applyFont="1" applyFill="1" applyBorder="1" applyAlignment="1">
      <alignment horizontal="center" vertical="top" wrapText="1"/>
    </xf>
    <xf numFmtId="0" fontId="7" fillId="0" borderId="89" xfId="0" applyFont="1" applyFill="1" applyBorder="1" applyAlignment="1">
      <alignment horizontal="center" vertical="top" wrapText="1"/>
    </xf>
    <xf numFmtId="0" fontId="8" fillId="0" borderId="20"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0" xfId="0" applyFont="1" applyFill="1" applyBorder="1" applyAlignment="1">
      <alignment horizontal="center" vertical="top" wrapText="1"/>
    </xf>
    <xf numFmtId="0" fontId="8" fillId="0" borderId="21" xfId="0" applyFont="1" applyFill="1" applyBorder="1" applyAlignment="1">
      <alignment horizontal="center" vertical="top" wrapText="1"/>
    </xf>
    <xf numFmtId="164" fontId="7" fillId="9" borderId="89" xfId="0" applyNumberFormat="1" applyFont="1" applyFill="1" applyBorder="1" applyAlignment="1">
      <alignment horizontal="center" vertical="center" wrapText="1"/>
    </xf>
    <xf numFmtId="0" fontId="7" fillId="9" borderId="89" xfId="0" applyNumberFormat="1" applyFont="1" applyFill="1" applyBorder="1" applyAlignment="1">
      <alignment horizontal="center" vertical="center" wrapText="1"/>
    </xf>
    <xf numFmtId="0" fontId="8" fillId="0" borderId="20" xfId="0" applyFont="1" applyFill="1" applyBorder="1" applyAlignment="1">
      <alignment horizontal="center" vertical="top"/>
    </xf>
    <xf numFmtId="0" fontId="8" fillId="0" borderId="27" xfId="0" applyFont="1" applyFill="1" applyBorder="1" applyAlignment="1">
      <alignment horizontal="center" vertical="top"/>
    </xf>
    <xf numFmtId="0" fontId="8" fillId="0" borderId="27" xfId="0" applyFont="1" applyFill="1" applyBorder="1" applyAlignment="1">
      <alignment horizontal="left" vertical="top" wrapText="1"/>
    </xf>
    <xf numFmtId="0" fontId="8" fillId="0" borderId="2" xfId="0" applyFont="1" applyFill="1" applyBorder="1" applyAlignment="1">
      <alignment horizontal="center" vertical="top" wrapText="1"/>
    </xf>
    <xf numFmtId="0" fontId="8" fillId="0" borderId="4" xfId="0" applyFont="1" applyFill="1" applyBorder="1" applyAlignment="1">
      <alignment horizontal="center" vertical="top" wrapText="1"/>
    </xf>
    <xf numFmtId="164" fontId="7" fillId="0" borderId="89" xfId="0" applyNumberFormat="1" applyFont="1" applyFill="1" applyBorder="1" applyAlignment="1">
      <alignment horizontal="center" vertical="center" wrapText="1"/>
    </xf>
    <xf numFmtId="0" fontId="7" fillId="0" borderId="89" xfId="0" applyFont="1" applyFill="1" applyBorder="1" applyAlignment="1">
      <alignment horizontal="center" vertical="center" wrapText="1"/>
    </xf>
    <xf numFmtId="3" fontId="7" fillId="0" borderId="89" xfId="0" applyNumberFormat="1" applyFont="1" applyFill="1" applyBorder="1" applyAlignment="1">
      <alignment vertical="center" wrapText="1"/>
    </xf>
    <xf numFmtId="0" fontId="7" fillId="0" borderId="89" xfId="0" applyFont="1" applyFill="1" applyBorder="1" applyAlignment="1">
      <alignment vertical="center" wrapText="1"/>
    </xf>
    <xf numFmtId="41" fontId="7" fillId="0" borderId="89" xfId="0" applyNumberFormat="1" applyFont="1" applyFill="1" applyBorder="1" applyAlignment="1">
      <alignment horizontal="center" vertical="center" wrapText="1"/>
    </xf>
    <xf numFmtId="41" fontId="7" fillId="9" borderId="89" xfId="0" applyNumberFormat="1" applyFont="1" applyFill="1" applyBorder="1" applyAlignment="1">
      <alignment horizontal="center" vertical="center" wrapText="1"/>
    </xf>
    <xf numFmtId="3" fontId="7" fillId="0" borderId="89" xfId="0" applyNumberFormat="1" applyFont="1" applyFill="1" applyBorder="1" applyAlignment="1">
      <alignment horizontal="center" vertical="top" wrapText="1"/>
    </xf>
    <xf numFmtId="43" fontId="7" fillId="0" borderId="89" xfId="2" applyFont="1" applyFill="1" applyBorder="1" applyAlignment="1">
      <alignment horizontal="center" vertical="center" wrapText="1"/>
    </xf>
    <xf numFmtId="0" fontId="17" fillId="4" borderId="1" xfId="0" applyFont="1" applyFill="1" applyBorder="1" applyAlignment="1">
      <alignment horizontal="right"/>
    </xf>
    <xf numFmtId="0" fontId="21" fillId="4" borderId="1" xfId="0" applyFont="1" applyFill="1" applyBorder="1" applyAlignment="1">
      <alignment horizontal="center"/>
    </xf>
    <xf numFmtId="0" fontId="7" fillId="0" borderId="1" xfId="0" applyFont="1" applyFill="1" applyBorder="1" applyAlignment="1">
      <alignment horizontal="right"/>
    </xf>
    <xf numFmtId="0" fontId="8" fillId="0" borderId="1" xfId="0" applyFont="1" applyFill="1" applyBorder="1" applyAlignment="1">
      <alignment horizontal="center"/>
    </xf>
    <xf numFmtId="0" fontId="8" fillId="9" borderId="63" xfId="0" applyFont="1" applyFill="1" applyBorder="1" applyAlignment="1">
      <alignment vertical="top" wrapText="1"/>
    </xf>
    <xf numFmtId="0" fontId="8" fillId="9" borderId="83" xfId="0" applyFont="1" applyFill="1" applyBorder="1" applyAlignment="1">
      <alignment vertical="top" wrapText="1"/>
    </xf>
    <xf numFmtId="41" fontId="8" fillId="0" borderId="2" xfId="1" applyFont="1" applyFill="1" applyBorder="1" applyAlignment="1">
      <alignment horizontal="center" vertical="top"/>
    </xf>
    <xf numFmtId="41" fontId="8" fillId="0" borderId="4" xfId="1" applyFont="1" applyFill="1" applyBorder="1" applyAlignment="1">
      <alignment horizontal="center" vertical="top"/>
    </xf>
    <xf numFmtId="2" fontId="8" fillId="0" borderId="2" xfId="0" applyNumberFormat="1" applyFont="1" applyFill="1" applyBorder="1" applyAlignment="1">
      <alignment horizontal="center" vertical="top"/>
    </xf>
    <xf numFmtId="2" fontId="8" fillId="0" borderId="4" xfId="0" applyNumberFormat="1" applyFont="1" applyFill="1" applyBorder="1" applyAlignment="1">
      <alignment horizontal="center" vertical="top"/>
    </xf>
    <xf numFmtId="2" fontId="8" fillId="0" borderId="2" xfId="0" applyNumberFormat="1" applyFont="1" applyFill="1" applyBorder="1" applyAlignment="1">
      <alignment horizontal="right" vertical="top"/>
    </xf>
    <xf numFmtId="2" fontId="8" fillId="0" borderId="3" xfId="0" applyNumberFormat="1" applyFont="1" applyFill="1" applyBorder="1" applyAlignment="1">
      <alignment horizontal="right" vertical="top"/>
    </xf>
    <xf numFmtId="2" fontId="8" fillId="0" borderId="4" xfId="0" applyNumberFormat="1" applyFont="1" applyFill="1" applyBorder="1" applyAlignment="1">
      <alignment horizontal="right" vertical="top"/>
    </xf>
    <xf numFmtId="41" fontId="8" fillId="0" borderId="3" xfId="1" applyFont="1" applyFill="1" applyBorder="1" applyAlignment="1">
      <alignment horizontal="center" vertical="top"/>
    </xf>
    <xf numFmtId="0" fontId="8" fillId="0" borderId="3" xfId="0" applyFont="1" applyFill="1" applyBorder="1" applyAlignment="1">
      <alignment horizontal="center" vertical="center" wrapText="1"/>
    </xf>
    <xf numFmtId="41" fontId="8" fillId="0" borderId="1" xfId="1" applyFont="1" applyFill="1" applyBorder="1" applyAlignment="1">
      <alignment horizontal="center" vertical="top"/>
    </xf>
    <xf numFmtId="41" fontId="8" fillId="0" borderId="1" xfId="1" quotePrefix="1" applyFont="1" applyFill="1" applyBorder="1" applyAlignment="1">
      <alignment horizontal="center" vertical="top"/>
    </xf>
    <xf numFmtId="2" fontId="8" fillId="0" borderId="3" xfId="0" applyNumberFormat="1" applyFont="1" applyFill="1" applyBorder="1" applyAlignment="1">
      <alignment horizontal="center" vertical="top"/>
    </xf>
    <xf numFmtId="41" fontId="8" fillId="0" borderId="2" xfId="1" quotePrefix="1" applyFont="1" applyFill="1" applyBorder="1" applyAlignment="1">
      <alignment horizontal="center" vertical="top"/>
    </xf>
    <xf numFmtId="41" fontId="8" fillId="0" borderId="3" xfId="1" quotePrefix="1" applyFont="1" applyFill="1" applyBorder="1" applyAlignment="1">
      <alignment horizontal="center" vertical="top"/>
    </xf>
    <xf numFmtId="41" fontId="8" fillId="0" borderId="4" xfId="1" quotePrefix="1" applyFont="1" applyFill="1" applyBorder="1" applyAlignment="1">
      <alignment horizontal="center" vertical="top"/>
    </xf>
    <xf numFmtId="2" fontId="8" fillId="0" borderId="1" xfId="0" applyNumberFormat="1" applyFont="1" applyFill="1" applyBorder="1" applyAlignment="1">
      <alignment horizontal="center" vertical="top"/>
    </xf>
    <xf numFmtId="0" fontId="8" fillId="0" borderId="7" xfId="0" applyFont="1" applyBorder="1" applyAlignment="1">
      <alignment horizontal="center" vertical="top"/>
    </xf>
    <xf numFmtId="0" fontId="8" fillId="0" borderId="15" xfId="0" applyFont="1" applyBorder="1" applyAlignment="1">
      <alignment horizontal="center" vertical="top"/>
    </xf>
    <xf numFmtId="0" fontId="8" fillId="0" borderId="8" xfId="0" applyFont="1" applyBorder="1" applyAlignment="1">
      <alignment horizontal="center" vertical="top"/>
    </xf>
    <xf numFmtId="0" fontId="7" fillId="9" borderId="1" xfId="0" applyFont="1" applyFill="1" applyBorder="1" applyAlignment="1">
      <alignment horizontal="right" vertical="top"/>
    </xf>
    <xf numFmtId="0" fontId="8" fillId="9" borderId="1" xfId="0" applyFont="1" applyFill="1" applyBorder="1" applyAlignment="1">
      <alignment horizontal="right" vertical="top"/>
    </xf>
    <xf numFmtId="0" fontId="8" fillId="0" borderId="3" xfId="0" applyFont="1" applyFill="1" applyBorder="1" applyAlignment="1">
      <alignment horizontal="left" wrapText="1"/>
    </xf>
    <xf numFmtId="0" fontId="8" fillId="0" borderId="4" xfId="0" applyFont="1" applyFill="1" applyBorder="1" applyAlignment="1">
      <alignment horizontal="left" wrapText="1"/>
    </xf>
    <xf numFmtId="0" fontId="8" fillId="0" borderId="3" xfId="0" applyFont="1" applyFill="1" applyBorder="1" applyAlignment="1">
      <alignment horizontal="center" vertical="top" wrapText="1"/>
    </xf>
    <xf numFmtId="0" fontId="15" fillId="0" borderId="49" xfId="0" applyFont="1" applyBorder="1" applyAlignment="1">
      <alignment horizontal="left" vertical="top" wrapText="1" indent="15"/>
    </xf>
    <xf numFmtId="0" fontId="8" fillId="0" borderId="49" xfId="0" applyFont="1" applyBorder="1" applyAlignment="1">
      <alignment vertical="top" wrapText="1"/>
    </xf>
    <xf numFmtId="0" fontId="8" fillId="0" borderId="51" xfId="0" applyFont="1" applyBorder="1" applyAlignment="1">
      <alignment horizontal="center" vertical="top"/>
    </xf>
    <xf numFmtId="0" fontId="8" fillId="0" borderId="52" xfId="0" applyFont="1" applyBorder="1" applyAlignment="1">
      <alignment horizontal="center" vertical="top"/>
    </xf>
    <xf numFmtId="0" fontId="8" fillId="0" borderId="53" xfId="0" applyFont="1" applyBorder="1" applyAlignment="1">
      <alignment horizontal="center"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3" xfId="0" applyFont="1" applyBorder="1" applyAlignment="1">
      <alignment horizontal="center" vertical="top"/>
    </xf>
    <xf numFmtId="0" fontId="8" fillId="0" borderId="34" xfId="0" applyFont="1" applyBorder="1" applyAlignment="1">
      <alignment horizontal="center" vertical="top"/>
    </xf>
    <xf numFmtId="0" fontId="8" fillId="0" borderId="35" xfId="0" applyFont="1" applyBorder="1" applyAlignment="1">
      <alignment horizontal="center" vertical="top"/>
    </xf>
    <xf numFmtId="0" fontId="7" fillId="0" borderId="11" xfId="0" applyFont="1" applyFill="1" applyBorder="1" applyAlignment="1">
      <alignment horizontal="left" vertical="center"/>
    </xf>
    <xf numFmtId="0" fontId="7" fillId="0" borderId="13" xfId="0" applyFont="1" applyFill="1" applyBorder="1" applyAlignment="1">
      <alignment horizontal="left" vertical="center"/>
    </xf>
    <xf numFmtId="0" fontId="7" fillId="0" borderId="12" xfId="0" applyFont="1" applyFill="1" applyBorder="1" applyAlignment="1">
      <alignment horizontal="left" vertical="center"/>
    </xf>
    <xf numFmtId="164" fontId="7" fillId="0" borderId="2" xfId="0" applyNumberFormat="1" applyFont="1" applyBorder="1" applyAlignment="1">
      <alignment horizontal="center" vertical="top" wrapText="1"/>
    </xf>
    <xf numFmtId="0" fontId="7" fillId="0" borderId="85" xfId="0" applyFont="1" applyBorder="1" applyAlignment="1">
      <alignment horizontal="center" vertical="top" wrapText="1"/>
    </xf>
    <xf numFmtId="41" fontId="7" fillId="0" borderId="2" xfId="0" applyNumberFormat="1" applyFont="1" applyBorder="1" applyAlignment="1">
      <alignment horizontal="center" vertical="top" wrapText="1"/>
    </xf>
    <xf numFmtId="41" fontId="7" fillId="0" borderId="85" xfId="0" applyNumberFormat="1" applyFont="1" applyBorder="1" applyAlignment="1">
      <alignment horizontal="center" vertical="top" wrapText="1"/>
    </xf>
    <xf numFmtId="41" fontId="8" fillId="0" borderId="2" xfId="1" applyFont="1" applyBorder="1" applyAlignment="1">
      <alignment horizontal="center" vertical="top" wrapText="1"/>
    </xf>
    <xf numFmtId="41" fontId="8" fillId="0" borderId="85" xfId="1" applyFont="1" applyBorder="1" applyAlignment="1">
      <alignment horizontal="center" vertical="top" wrapText="1"/>
    </xf>
    <xf numFmtId="0" fontId="17" fillId="16" borderId="11" xfId="0" applyFont="1" applyFill="1" applyBorder="1" applyAlignment="1">
      <alignment horizontal="left" vertical="top" wrapText="1"/>
    </xf>
    <xf numFmtId="0" fontId="17" fillId="16" borderId="12" xfId="0" applyFont="1" applyFill="1" applyBorder="1" applyAlignment="1">
      <alignment horizontal="left" vertical="top" wrapText="1"/>
    </xf>
    <xf numFmtId="0" fontId="7" fillId="9" borderId="1" xfId="0" applyFont="1" applyFill="1" applyBorder="1" applyAlignment="1">
      <alignment horizontal="right"/>
    </xf>
    <xf numFmtId="41" fontId="7" fillId="9" borderId="11" xfId="0" applyNumberFormat="1" applyFont="1" applyFill="1" applyBorder="1" applyAlignment="1">
      <alignment horizontal="center"/>
    </xf>
    <xf numFmtId="0" fontId="8" fillId="0" borderId="13" xfId="0" applyFont="1" applyBorder="1"/>
    <xf numFmtId="0" fontId="8" fillId="0" borderId="12" xfId="0" applyFont="1" applyBorder="1"/>
    <xf numFmtId="0" fontId="15" fillId="0" borderId="83" xfId="0" applyFont="1" applyBorder="1" applyAlignment="1">
      <alignment vertical="top" wrapText="1"/>
    </xf>
    <xf numFmtId="164" fontId="7" fillId="0" borderId="47"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164" fontId="7" fillId="0" borderId="85" xfId="0" applyNumberFormat="1" applyFont="1" applyBorder="1" applyAlignment="1">
      <alignment horizontal="center" vertical="top" wrapText="1"/>
    </xf>
    <xf numFmtId="43" fontId="7" fillId="0" borderId="47" xfId="0" applyNumberFormat="1" applyFont="1" applyBorder="1" applyAlignment="1">
      <alignment horizontal="center" vertical="top" wrapText="1"/>
    </xf>
    <xf numFmtId="43" fontId="7" fillId="0" borderId="3" xfId="0" applyNumberFormat="1" applyFont="1" applyBorder="1" applyAlignment="1">
      <alignment horizontal="center" vertical="top" wrapText="1"/>
    </xf>
    <xf numFmtId="43" fontId="7" fillId="0" borderId="85" xfId="0" applyNumberFormat="1" applyFont="1" applyBorder="1" applyAlignment="1">
      <alignment horizontal="center" vertical="top" wrapText="1"/>
    </xf>
    <xf numFmtId="0" fontId="8" fillId="0" borderId="11" xfId="0" applyFont="1" applyBorder="1" applyAlignment="1">
      <alignment horizontal="right" vertical="top"/>
    </xf>
    <xf numFmtId="0" fontId="8" fillId="0" borderId="13" xfId="0" applyFont="1" applyBorder="1" applyAlignment="1">
      <alignment horizontal="right" vertical="top"/>
    </xf>
    <xf numFmtId="0" fontId="8" fillId="0" borderId="12" xfId="0" applyFont="1" applyBorder="1" applyAlignment="1">
      <alignment horizontal="right" vertical="top"/>
    </xf>
    <xf numFmtId="41" fontId="8" fillId="0" borderId="2" xfId="0" applyNumberFormat="1" applyFont="1" applyBorder="1" applyAlignment="1">
      <alignment horizontal="center" vertical="top" wrapText="1"/>
    </xf>
    <xf numFmtId="41" fontId="8" fillId="0" borderId="85" xfId="0" applyNumberFormat="1" applyFont="1" applyBorder="1" applyAlignment="1">
      <alignment horizontal="center" vertical="top" wrapText="1"/>
    </xf>
    <xf numFmtId="164" fontId="8" fillId="0" borderId="2" xfId="0" applyNumberFormat="1" applyFont="1" applyBorder="1" applyAlignment="1">
      <alignment horizontal="center" vertical="top" wrapText="1"/>
    </xf>
    <xf numFmtId="164" fontId="8" fillId="0" borderId="85" xfId="0" applyNumberFormat="1" applyFont="1" applyBorder="1" applyAlignment="1">
      <alignment horizontal="center" vertical="top" wrapText="1"/>
    </xf>
    <xf numFmtId="166" fontId="8" fillId="0" borderId="2" xfId="0" applyNumberFormat="1" applyFont="1" applyBorder="1" applyAlignment="1">
      <alignment horizontal="center" vertical="top" wrapText="1"/>
    </xf>
    <xf numFmtId="166" fontId="8" fillId="0" borderId="85"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86" xfId="0" applyFont="1" applyBorder="1" applyAlignment="1">
      <alignment horizontal="left" vertical="top" wrapText="1"/>
    </xf>
    <xf numFmtId="41" fontId="7" fillId="0" borderId="47" xfId="0" applyNumberFormat="1" applyFont="1" applyBorder="1" applyAlignment="1">
      <alignment horizontal="center" vertical="top" wrapText="1"/>
    </xf>
    <xf numFmtId="41" fontId="7" fillId="0" borderId="3" xfId="0" applyNumberFormat="1" applyFont="1" applyBorder="1" applyAlignment="1">
      <alignment horizontal="center" vertical="top" wrapText="1"/>
    </xf>
    <xf numFmtId="164" fontId="8" fillId="0" borderId="47" xfId="1" applyNumberFormat="1" applyFont="1" applyFill="1" applyBorder="1" applyAlignment="1">
      <alignment horizontal="center" vertical="top"/>
    </xf>
    <xf numFmtId="164" fontId="8" fillId="0" borderId="85" xfId="1" applyNumberFormat="1" applyFont="1" applyFill="1" applyBorder="1" applyAlignment="1">
      <alignment horizontal="center" vertical="top"/>
    </xf>
    <xf numFmtId="164" fontId="8" fillId="0" borderId="3" xfId="1" applyNumberFormat="1" applyFont="1" applyFill="1" applyBorder="1" applyAlignment="1">
      <alignment horizontal="center" vertical="top"/>
    </xf>
    <xf numFmtId="41" fontId="8" fillId="0" borderId="47" xfId="0" applyNumberFormat="1" applyFont="1" applyBorder="1" applyAlignment="1">
      <alignment horizontal="center" vertical="top" wrapText="1"/>
    </xf>
    <xf numFmtId="41" fontId="8" fillId="0" borderId="3" xfId="0" applyNumberFormat="1" applyFont="1" applyBorder="1" applyAlignment="1">
      <alignment horizontal="center" vertical="top" wrapText="1"/>
    </xf>
    <xf numFmtId="0" fontId="7" fillId="4" borderId="11" xfId="0" applyFont="1" applyFill="1" applyBorder="1" applyAlignment="1">
      <alignment horizontal="center"/>
    </xf>
    <xf numFmtId="0" fontId="7" fillId="4" borderId="13" xfId="0" applyFont="1" applyFill="1" applyBorder="1" applyAlignment="1">
      <alignment horizontal="center"/>
    </xf>
    <xf numFmtId="0" fontId="7" fillId="4" borderId="12" xfId="0" applyFont="1" applyFill="1" applyBorder="1" applyAlignment="1">
      <alignment horizontal="center"/>
    </xf>
    <xf numFmtId="0" fontId="8" fillId="4" borderId="1" xfId="0" applyFont="1" applyFill="1" applyBorder="1" applyAlignment="1">
      <alignment horizontal="center"/>
    </xf>
    <xf numFmtId="0" fontId="7" fillId="18" borderId="11" xfId="0" applyFont="1" applyFill="1" applyBorder="1" applyAlignment="1">
      <alignment horizontal="right"/>
    </xf>
    <xf numFmtId="0" fontId="8" fillId="18" borderId="13" xfId="0" applyFont="1" applyFill="1" applyBorder="1" applyAlignment="1">
      <alignment horizontal="right"/>
    </xf>
    <xf numFmtId="0" fontId="8" fillId="18" borderId="12" xfId="0" applyFont="1" applyFill="1" applyBorder="1" applyAlignment="1">
      <alignment horizontal="right"/>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164" fontId="8" fillId="0" borderId="47" xfId="0" applyNumberFormat="1" applyFont="1" applyBorder="1" applyAlignment="1">
      <alignment horizontal="center" vertical="top" wrapText="1"/>
    </xf>
    <xf numFmtId="164" fontId="8" fillId="0" borderId="3" xfId="0" applyNumberFormat="1" applyFont="1" applyBorder="1" applyAlignment="1">
      <alignment horizontal="center" vertical="top" wrapText="1"/>
    </xf>
    <xf numFmtId="0" fontId="7" fillId="4" borderId="1" xfId="0" applyFont="1" applyFill="1" applyBorder="1" applyAlignment="1">
      <alignment horizontal="right"/>
    </xf>
    <xf numFmtId="41" fontId="8" fillId="0" borderId="1" xfId="1" applyNumberFormat="1" applyFont="1" applyBorder="1" applyAlignment="1">
      <alignment horizontal="left" vertical="top" wrapText="1"/>
    </xf>
    <xf numFmtId="41" fontId="8" fillId="0" borderId="1" xfId="1" applyFont="1" applyBorder="1" applyAlignment="1">
      <alignment horizontal="left" vertical="top" wrapText="1"/>
    </xf>
    <xf numFmtId="41" fontId="7" fillId="0" borderId="2" xfId="0" applyNumberFormat="1" applyFont="1" applyFill="1" applyBorder="1" applyAlignment="1">
      <alignment horizontal="left" vertical="center" textRotation="255" wrapText="1"/>
    </xf>
    <xf numFmtId="41" fontId="7" fillId="0" borderId="3" xfId="0" applyNumberFormat="1" applyFont="1" applyFill="1" applyBorder="1" applyAlignment="1">
      <alignment horizontal="left" vertical="center" textRotation="255" wrapText="1"/>
    </xf>
    <xf numFmtId="41" fontId="7" fillId="0" borderId="4" xfId="0" applyNumberFormat="1" applyFont="1" applyFill="1" applyBorder="1" applyAlignment="1">
      <alignment horizontal="left" vertical="center" textRotation="255" wrapText="1"/>
    </xf>
    <xf numFmtId="0" fontId="4" fillId="0" borderId="1" xfId="0" applyFont="1" applyBorder="1" applyAlignment="1">
      <alignment horizontal="right" vertical="top"/>
    </xf>
    <xf numFmtId="0" fontId="2" fillId="0" borderId="1" xfId="0" applyFont="1" applyBorder="1" applyAlignment="1">
      <alignment horizontal="right" vertical="top"/>
    </xf>
    <xf numFmtId="0" fontId="4" fillId="4" borderId="1" xfId="0" applyFont="1" applyFill="1" applyBorder="1" applyAlignment="1">
      <alignment horizontal="right"/>
    </xf>
    <xf numFmtId="0" fontId="2" fillId="4" borderId="1" xfId="0" applyFont="1" applyFill="1" applyBorder="1" applyAlignment="1">
      <alignment horizontal="center"/>
    </xf>
    <xf numFmtId="0" fontId="7" fillId="0" borderId="55" xfId="0" applyFont="1" applyFill="1" applyBorder="1" applyAlignment="1">
      <alignment horizontal="left" vertical="top" wrapText="1"/>
    </xf>
    <xf numFmtId="0" fontId="7" fillId="0" borderId="5" xfId="0" applyFont="1" applyFill="1" applyBorder="1" applyAlignment="1">
      <alignment horizontal="left" vertical="top"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3" fillId="0" borderId="9" xfId="0" applyFont="1" applyFill="1" applyBorder="1" applyAlignment="1">
      <alignment horizontal="left" vertical="top" wrapText="1"/>
    </xf>
    <xf numFmtId="0" fontId="23" fillId="0" borderId="7" xfId="0" applyFont="1" applyFill="1" applyBorder="1" applyAlignment="1">
      <alignment horizontal="left" vertical="top" wrapText="1"/>
    </xf>
    <xf numFmtId="0" fontId="15" fillId="9" borderId="1" xfId="0" applyFont="1" applyFill="1" applyBorder="1" applyAlignment="1">
      <alignment vertical="top" wrapText="1"/>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8" fillId="0" borderId="2" xfId="0" applyFont="1" applyFill="1" applyBorder="1" applyAlignment="1">
      <alignment horizontal="justify" vertical="top" wrapText="1"/>
    </xf>
    <xf numFmtId="0" fontId="8" fillId="0" borderId="3" xfId="0" applyFont="1" applyFill="1" applyBorder="1" applyAlignment="1">
      <alignment horizontal="justify" vertical="top" wrapText="1"/>
    </xf>
    <xf numFmtId="0" fontId="8" fillId="0" borderId="4" xfId="0" applyFont="1" applyFill="1" applyBorder="1" applyAlignment="1">
      <alignment horizontal="justify" vertical="top" wrapText="1"/>
    </xf>
    <xf numFmtId="0" fontId="7" fillId="9" borderId="1" xfId="0" applyFont="1" applyFill="1" applyBorder="1" applyAlignment="1">
      <alignment horizontal="left" vertical="top" wrapText="1"/>
    </xf>
    <xf numFmtId="0" fontId="15" fillId="9" borderId="1" xfId="0" applyFont="1" applyFill="1" applyBorder="1" applyAlignment="1">
      <alignment horizontal="center" vertical="top" wrapText="1"/>
    </xf>
    <xf numFmtId="0" fontId="15" fillId="9" borderId="1" xfId="0" applyFont="1" applyFill="1" applyBorder="1" applyAlignment="1">
      <alignment horizontal="left" vertical="top" wrapText="1" indent="15"/>
    </xf>
    <xf numFmtId="0" fontId="7" fillId="0" borderId="9" xfId="0" applyFont="1" applyBorder="1" applyAlignment="1">
      <alignment horizontal="left"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9" borderId="2" xfId="0" applyFont="1" applyFill="1" applyBorder="1" applyAlignment="1">
      <alignment horizontal="left" vertical="top" wrapText="1"/>
    </xf>
    <xf numFmtId="0" fontId="7" fillId="9" borderId="4" xfId="0" applyFont="1" applyFill="1" applyBorder="1" applyAlignment="1">
      <alignment horizontal="left" vertical="top" wrapText="1"/>
    </xf>
    <xf numFmtId="0" fontId="21" fillId="0" borderId="1" xfId="0" applyFont="1" applyFill="1" applyBorder="1" applyAlignment="1">
      <alignment vertical="top" wrapText="1"/>
    </xf>
    <xf numFmtId="0" fontId="4" fillId="13" borderId="11" xfId="0" applyFont="1" applyFill="1" applyBorder="1" applyAlignment="1">
      <alignment horizontal="right"/>
    </xf>
    <xf numFmtId="0" fontId="4" fillId="13" borderId="13" xfId="0" applyFont="1" applyFill="1" applyBorder="1" applyAlignment="1">
      <alignment horizontal="right"/>
    </xf>
    <xf numFmtId="0" fontId="4" fillId="13" borderId="12" xfId="0" applyFont="1" applyFill="1" applyBorder="1" applyAlignment="1">
      <alignment horizontal="right"/>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28" fillId="12" borderId="11" xfId="0" applyFont="1" applyFill="1" applyBorder="1" applyAlignment="1">
      <alignment horizontal="left" vertical="center" wrapText="1"/>
    </xf>
    <xf numFmtId="0" fontId="28" fillId="12" borderId="12" xfId="0" applyFont="1" applyFill="1" applyBorder="1" applyAlignment="1">
      <alignment horizontal="left" vertical="center" wrapText="1"/>
    </xf>
    <xf numFmtId="0" fontId="28" fillId="12" borderId="11" xfId="0" applyFont="1" applyFill="1" applyBorder="1" applyAlignment="1">
      <alignment horizontal="left" vertical="top" wrapText="1"/>
    </xf>
    <xf numFmtId="0" fontId="28" fillId="12" borderId="12" xfId="0" applyFont="1" applyFill="1" applyBorder="1" applyAlignment="1">
      <alignment horizontal="left" vertical="top" wrapText="1"/>
    </xf>
    <xf numFmtId="0" fontId="4" fillId="0" borderId="11" xfId="0" applyFont="1" applyBorder="1" applyAlignment="1">
      <alignment horizontal="right" vertical="top"/>
    </xf>
    <xf numFmtId="0" fontId="4" fillId="0" borderId="13" xfId="0" applyFont="1" applyBorder="1" applyAlignment="1">
      <alignment horizontal="right" vertical="top"/>
    </xf>
    <xf numFmtId="0" fontId="4" fillId="0" borderId="12" xfId="0" applyFont="1" applyBorder="1" applyAlignment="1">
      <alignment horizontal="right" vertical="top"/>
    </xf>
    <xf numFmtId="0" fontId="2" fillId="13" borderId="11" xfId="0" applyFont="1" applyFill="1" applyBorder="1" applyAlignment="1">
      <alignment horizontal="center"/>
    </xf>
    <xf numFmtId="0" fontId="2" fillId="13" borderId="13" xfId="0" applyFont="1" applyFill="1" applyBorder="1" applyAlignment="1">
      <alignment horizontal="center"/>
    </xf>
    <xf numFmtId="0" fontId="2" fillId="13" borderId="12" xfId="0" applyFont="1" applyFill="1" applyBorder="1" applyAlignment="1">
      <alignment horizontal="center"/>
    </xf>
    <xf numFmtId="0" fontId="7" fillId="0" borderId="11" xfId="0" applyFont="1" applyFill="1" applyBorder="1" applyAlignment="1">
      <alignment horizontal="right" vertical="center"/>
    </xf>
    <xf numFmtId="0" fontId="7" fillId="0" borderId="13" xfId="0" applyFont="1" applyFill="1" applyBorder="1" applyAlignment="1">
      <alignment horizontal="right" vertical="center"/>
    </xf>
    <xf numFmtId="0" fontId="7" fillId="0" borderId="12" xfId="0" applyFont="1" applyFill="1" applyBorder="1" applyAlignment="1">
      <alignment horizontal="right" vertical="center"/>
    </xf>
    <xf numFmtId="0" fontId="8" fillId="0" borderId="1" xfId="0" applyFont="1" applyBorder="1" applyAlignment="1">
      <alignment horizontal="center"/>
    </xf>
    <xf numFmtId="0" fontId="7" fillId="0" borderId="1" xfId="0" applyFont="1" applyBorder="1" applyAlignment="1">
      <alignment horizontal="right"/>
    </xf>
    <xf numFmtId="0" fontId="0" fillId="5" borderId="9" xfId="0" applyFill="1" applyBorder="1" applyAlignment="1">
      <alignment horizontal="center"/>
    </xf>
    <xf numFmtId="0" fontId="0" fillId="5" borderId="10"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3" fillId="0" borderId="0" xfId="0" applyFont="1" applyAlignment="1">
      <alignment horizontal="center"/>
    </xf>
    <xf numFmtId="0" fontId="0" fillId="5" borderId="2" xfId="0" quotePrefix="1" applyFill="1" applyBorder="1" applyAlignment="1">
      <alignment horizontal="center" vertical="center"/>
    </xf>
    <xf numFmtId="0" fontId="0" fillId="5" borderId="4" xfId="0" quotePrefix="1" applyFill="1" applyBorder="1" applyAlignment="1">
      <alignment horizontal="center" vertical="center"/>
    </xf>
    <xf numFmtId="0" fontId="0" fillId="5" borderId="5" xfId="0" applyFill="1" applyBorder="1" applyAlignment="1">
      <alignment horizontal="center"/>
    </xf>
    <xf numFmtId="0" fontId="0" fillId="5" borderId="6" xfId="0" applyFill="1" applyBorder="1" applyAlignment="1">
      <alignment horizont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0" borderId="9" xfId="0" applyBorder="1" applyAlignment="1">
      <alignment horizontal="center" vertical="top"/>
    </xf>
    <xf numFmtId="0" fontId="0" fillId="0" borderId="14"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right" vertical="top"/>
    </xf>
    <xf numFmtId="0" fontId="0" fillId="4" borderId="1" xfId="0" applyFill="1" applyBorder="1" applyAlignment="1">
      <alignment horizontal="center"/>
    </xf>
    <xf numFmtId="0" fontId="0" fillId="0" borderId="0" xfId="0"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14" xfId="0" applyFill="1" applyBorder="1" applyAlignment="1">
      <alignment horizontal="center" vertical="center"/>
    </xf>
    <xf numFmtId="0" fontId="0" fillId="5" borderId="0" xfId="0" applyFill="1" applyBorder="1" applyAlignment="1">
      <alignment horizontal="center" vertical="center"/>
    </xf>
    <xf numFmtId="0" fontId="0" fillId="5" borderId="15" xfId="0" applyFill="1"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cellXfs>
  <cellStyles count="8">
    <cellStyle name="Comma" xfId="2" builtinId="3"/>
    <cellStyle name="Comma [0]" xfId="1" builtinId="6"/>
    <cellStyle name="Comma [0] 2" xfId="4"/>
    <cellStyle name="Comma [0] 4" xfId="6"/>
    <cellStyle name="Comma 2" xfId="7"/>
    <cellStyle name="Normal" xfId="0" builtinId="0"/>
    <cellStyle name="Normal 2" xfId="5"/>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PORAN%20AP/Laporan%20AP%202018/Laporan%20AP%2020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ENSTRA/RENSTRA%20UTK%20PAGU%20KOMULATI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APORAN%20AP/Laporan%20AP%202017/lap%20ap%20mei%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nja%202018/Renja%202018/penyusunan%20LKPJ%202016%20Hal%20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aporan%20AP%202017/lap%20ap%20mei%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KPD%20Dinas%20Pariwisata,%20Pemuda%20da%20Olahrag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0WAHYU/LAPORAN%20PROGRAM%202018/laporan%20bulanan%202018NEW.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APORAN%20PROGRAM%202017/laporan%20bulana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NSTRA/RENSTRA%20UTK%20APGU%20KOMULATI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ekap%20capaian%20evaluasi%20RKP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Jan 2018"/>
      <sheetName val="Feb 2018"/>
      <sheetName val="Maret 2018"/>
      <sheetName val="April 2018"/>
    </sheetNames>
    <sheetDataSet>
      <sheetData sheetId="0" refreshError="1"/>
      <sheetData sheetId="1" refreshError="1"/>
      <sheetData sheetId="2" refreshError="1">
        <row r="56">
          <cell r="E56">
            <v>59000000</v>
          </cell>
          <cell r="H56">
            <v>17176000</v>
          </cell>
          <cell r="I56">
            <v>29.111864406779659</v>
          </cell>
        </row>
        <row r="60">
          <cell r="E60">
            <v>235745500</v>
          </cell>
          <cell r="H60">
            <v>60886886</v>
          </cell>
          <cell r="I60">
            <v>25.827379949988437</v>
          </cell>
        </row>
        <row r="63">
          <cell r="E63">
            <v>65540000</v>
          </cell>
        </row>
        <row r="66">
          <cell r="I66">
            <v>3.9562857399818192</v>
          </cell>
        </row>
        <row r="80">
          <cell r="I80" t="str">
            <v>-</v>
          </cell>
        </row>
        <row r="93">
          <cell r="I93">
            <v>6.8371799902495867E-2</v>
          </cell>
        </row>
        <row r="97">
          <cell r="I97">
            <v>33.575572701716609</v>
          </cell>
        </row>
        <row r="105">
          <cell r="I105" t="str">
            <v>-</v>
          </cell>
        </row>
        <row r="123">
          <cell r="I123">
            <v>12.372075457680426</v>
          </cell>
        </row>
        <row r="126">
          <cell r="I126">
            <v>21.784937206550367</v>
          </cell>
        </row>
        <row r="134">
          <cell r="I134">
            <v>2.7142306066071682</v>
          </cell>
        </row>
        <row r="152">
          <cell r="I152">
            <v>2.2447142577208359</v>
          </cell>
        </row>
        <row r="163">
          <cell r="I163">
            <v>7</v>
          </cell>
        </row>
        <row r="174">
          <cell r="I174">
            <v>8.0157109826662971</v>
          </cell>
        </row>
      </sheetData>
      <sheetData sheetId="3" refreshError="1">
        <row r="15">
          <cell r="I15">
            <v>32.228837690913799</v>
          </cell>
        </row>
        <row r="16">
          <cell r="E16">
            <v>11589000</v>
          </cell>
          <cell r="H16">
            <v>3735000</v>
          </cell>
        </row>
        <row r="19">
          <cell r="E19">
            <v>52800000</v>
          </cell>
          <cell r="H19">
            <v>13059151</v>
          </cell>
          <cell r="I19">
            <v>24.733240530303028</v>
          </cell>
        </row>
        <row r="22">
          <cell r="E22">
            <v>79800000</v>
          </cell>
          <cell r="H22">
            <v>21900000</v>
          </cell>
          <cell r="I22">
            <v>27.443609022556391</v>
          </cell>
        </row>
        <row r="24">
          <cell r="E24">
            <v>40229350</v>
          </cell>
          <cell r="H24">
            <v>13075500</v>
          </cell>
          <cell r="I24">
            <v>32.50238942463649</v>
          </cell>
        </row>
        <row r="28">
          <cell r="C28" t="str">
            <v>Penyediaan Jasa Perbaikan Peralatan Kerja</v>
          </cell>
          <cell r="H28">
            <v>2501920</v>
          </cell>
          <cell r="I28">
            <v>13.190215099114297</v>
          </cell>
        </row>
        <row r="29">
          <cell r="E29">
            <v>18968000</v>
          </cell>
        </row>
        <row r="31">
          <cell r="H31">
            <v>8765100</v>
          </cell>
          <cell r="I31">
            <v>28.386483407909207</v>
          </cell>
        </row>
        <row r="32">
          <cell r="E32">
            <v>30877724</v>
          </cell>
        </row>
        <row r="34">
          <cell r="H34">
            <v>6602000</v>
          </cell>
          <cell r="I34">
            <v>25.038589464981246</v>
          </cell>
        </row>
        <row r="35">
          <cell r="E35">
            <v>26367300</v>
          </cell>
        </row>
        <row r="37">
          <cell r="H37">
            <v>2462000</v>
          </cell>
          <cell r="I37">
            <v>22.798356592225371</v>
          </cell>
        </row>
        <row r="38">
          <cell r="E38">
            <v>10799024</v>
          </cell>
        </row>
        <row r="40">
          <cell r="I40">
            <v>14.857142857142858</v>
          </cell>
        </row>
        <row r="41">
          <cell r="E41">
            <v>10500000</v>
          </cell>
          <cell r="H41">
            <v>1560000</v>
          </cell>
        </row>
        <row r="43">
          <cell r="H43">
            <v>10967500</v>
          </cell>
          <cell r="I43">
            <v>33.867033102766797</v>
          </cell>
        </row>
        <row r="46">
          <cell r="E46">
            <v>32384000</v>
          </cell>
        </row>
        <row r="48">
          <cell r="H48">
            <v>37135800</v>
          </cell>
          <cell r="I48">
            <v>36.106757413709282</v>
          </cell>
        </row>
        <row r="49">
          <cell r="E49">
            <v>102850000</v>
          </cell>
        </row>
        <row r="51">
          <cell r="H51">
            <v>37855000</v>
          </cell>
          <cell r="I51">
            <v>65.042955326460486</v>
          </cell>
        </row>
        <row r="52">
          <cell r="E52">
            <v>58200000</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76">
          <cell r="T76">
            <v>98799888</v>
          </cell>
        </row>
      </sheetData>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ei 2017"/>
      <sheetName val="Juni 2017"/>
      <sheetName val="Sheet1"/>
      <sheetName val="Juli 2017"/>
      <sheetName val="Agustus 2017"/>
      <sheetName val="September 2017"/>
      <sheetName val="Oktober 2017"/>
      <sheetName val="Desember 2017"/>
      <sheetName val="November 2017"/>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1">
          <cell r="I31">
            <v>30843000</v>
          </cell>
          <cell r="J31">
            <v>99.926779327147372</v>
          </cell>
        </row>
        <row r="34">
          <cell r="I34">
            <v>34984000</v>
          </cell>
          <cell r="J34">
            <v>99.954285714285717</v>
          </cell>
        </row>
        <row r="44">
          <cell r="J44">
            <v>99.235819829643873</v>
          </cell>
        </row>
        <row r="45">
          <cell r="I45">
            <v>10716500</v>
          </cell>
        </row>
        <row r="48">
          <cell r="I48">
            <v>13825000</v>
          </cell>
          <cell r="J48">
            <v>99.460431654676256</v>
          </cell>
        </row>
        <row r="51">
          <cell r="I51">
            <v>99991400</v>
          </cell>
          <cell r="J51">
            <v>99.991399999999999</v>
          </cell>
        </row>
        <row r="54">
          <cell r="I54">
            <v>138936550</v>
          </cell>
          <cell r="J54">
            <v>99.774901256732491</v>
          </cell>
        </row>
        <row r="56">
          <cell r="I56">
            <v>85225000</v>
          </cell>
          <cell r="J56">
            <v>99.678362573099406</v>
          </cell>
        </row>
        <row r="61">
          <cell r="I61">
            <v>139966000</v>
          </cell>
          <cell r="J61">
            <v>99.97571428571429</v>
          </cell>
        </row>
        <row r="64">
          <cell r="I64">
            <v>175615472</v>
          </cell>
          <cell r="J64">
            <v>99.974651030399627</v>
          </cell>
        </row>
      </sheetData>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efreshError="1">
        <row r="15">
          <cell r="D15">
            <v>34998000</v>
          </cell>
          <cell r="E15">
            <v>99.99</v>
          </cell>
        </row>
        <row r="16">
          <cell r="D16">
            <v>34999800</v>
          </cell>
          <cell r="E16">
            <v>100</v>
          </cell>
        </row>
        <row r="17">
          <cell r="D17">
            <v>6457500</v>
          </cell>
          <cell r="E17">
            <v>100</v>
          </cell>
        </row>
        <row r="23">
          <cell r="D23">
            <v>23165000</v>
          </cell>
          <cell r="E23">
            <v>99.43</v>
          </cell>
        </row>
        <row r="24">
          <cell r="D24">
            <v>87105000</v>
          </cell>
          <cell r="E24">
            <v>99.88</v>
          </cell>
        </row>
        <row r="25">
          <cell r="D25">
            <v>179034188</v>
          </cell>
          <cell r="E25">
            <v>72.37</v>
          </cell>
        </row>
        <row r="26">
          <cell r="D26">
            <v>111000000</v>
          </cell>
          <cell r="E26">
            <v>100</v>
          </cell>
        </row>
        <row r="29">
          <cell r="D29">
            <v>28720000</v>
          </cell>
          <cell r="E29">
            <v>99.9</v>
          </cell>
        </row>
        <row r="30">
          <cell r="D30">
            <v>180323150</v>
          </cell>
          <cell r="E30">
            <v>99.97</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ei 2017"/>
      <sheetName val="Juni 2017"/>
      <sheetName val="Sheet1"/>
      <sheetName val="Juli 2017"/>
      <sheetName val="Agustus 2017"/>
      <sheetName val="September 2017"/>
      <sheetName val="Oktober 2017"/>
      <sheetName val="Desember 2017"/>
      <sheetName val="November 20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1">
          <cell r="F41">
            <v>36500000</v>
          </cell>
        </row>
        <row r="150">
          <cell r="I150">
            <v>165984000</v>
          </cell>
          <cell r="J150">
            <v>99.990361445783137</v>
          </cell>
        </row>
        <row r="197">
          <cell r="I197">
            <v>25000000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riwulan II (2)"/>
      <sheetName val="Sheet1"/>
      <sheetName val="triwulan II"/>
      <sheetName val="triwulan III"/>
      <sheetName val="Sheet2"/>
    </sheetNames>
    <sheetDataSet>
      <sheetData sheetId="0" refreshError="1">
        <row r="53">
          <cell r="AG53">
            <v>99.89</v>
          </cell>
          <cell r="AH53">
            <v>347051059</v>
          </cell>
        </row>
        <row r="74">
          <cell r="AH74">
            <v>585839100</v>
          </cell>
        </row>
        <row r="76">
          <cell r="AG76">
            <v>82.62</v>
          </cell>
          <cell r="AH76">
            <v>447533050</v>
          </cell>
        </row>
        <row r="90">
          <cell r="AG90">
            <v>98.64</v>
          </cell>
          <cell r="AH90">
            <v>495895500</v>
          </cell>
        </row>
        <row r="92">
          <cell r="AG92">
            <v>97.22</v>
          </cell>
          <cell r="AH92">
            <v>80069050</v>
          </cell>
        </row>
        <row r="93">
          <cell r="AG93">
            <v>99.990000000000009</v>
          </cell>
          <cell r="AH93">
            <v>263614800</v>
          </cell>
        </row>
        <row r="120">
          <cell r="AG120">
            <v>100</v>
          </cell>
          <cell r="AH120">
            <v>80022400</v>
          </cell>
        </row>
      </sheetData>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Januari "/>
      <sheetName val="Februari"/>
      <sheetName val="Maret"/>
      <sheetName val="April"/>
      <sheetName val="Pembgian Triwulan"/>
      <sheetName val="UP"/>
      <sheetName val="Fisik"/>
      <sheetName val="rekapbelanjamod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D3">
            <v>49800000</v>
          </cell>
          <cell r="E3">
            <v>7860525</v>
          </cell>
        </row>
        <row r="6">
          <cell r="D6">
            <v>82800000</v>
          </cell>
          <cell r="E6">
            <v>12950000</v>
          </cell>
        </row>
        <row r="9">
          <cell r="D9">
            <v>57205391</v>
          </cell>
          <cell r="E9">
            <v>12830000</v>
          </cell>
        </row>
        <row r="13">
          <cell r="D13">
            <v>24350000</v>
          </cell>
          <cell r="E13">
            <v>6350000</v>
          </cell>
        </row>
        <row r="16">
          <cell r="D16">
            <v>31655923</v>
          </cell>
          <cell r="E16">
            <v>5240000</v>
          </cell>
        </row>
        <row r="19">
          <cell r="D19">
            <v>22793564</v>
          </cell>
          <cell r="E19">
            <v>3800000</v>
          </cell>
        </row>
        <row r="22">
          <cell r="D22">
            <v>12738000</v>
          </cell>
          <cell r="E22">
            <v>0</v>
          </cell>
        </row>
        <row r="25">
          <cell r="D25">
            <v>6400000</v>
          </cell>
          <cell r="E25">
            <v>720000</v>
          </cell>
        </row>
        <row r="28">
          <cell r="D28">
            <v>43610000</v>
          </cell>
          <cell r="E28">
            <v>11715000</v>
          </cell>
        </row>
        <row r="31">
          <cell r="D31">
            <v>92000000</v>
          </cell>
          <cell r="E31">
            <v>28447800</v>
          </cell>
        </row>
        <row r="34">
          <cell r="D34">
            <v>53325000</v>
          </cell>
          <cell r="E34">
            <v>6000000</v>
          </cell>
        </row>
        <row r="37">
          <cell r="D37">
            <v>35000000</v>
          </cell>
          <cell r="E37">
            <v>0</v>
          </cell>
        </row>
        <row r="42">
          <cell r="D42">
            <v>3000000</v>
          </cell>
          <cell r="E42">
            <v>3000000</v>
          </cell>
        </row>
        <row r="45">
          <cell r="D45">
            <v>9000000</v>
          </cell>
          <cell r="E45">
            <v>9000000</v>
          </cell>
        </row>
        <row r="48">
          <cell r="D48">
            <v>40000000</v>
          </cell>
          <cell r="E48">
            <v>0</v>
          </cell>
        </row>
        <row r="51">
          <cell r="D51">
            <v>225742000</v>
          </cell>
          <cell r="E51">
            <v>37440500</v>
          </cell>
        </row>
        <row r="57">
          <cell r="D57">
            <v>1051610535</v>
          </cell>
          <cell r="E57">
            <v>265681000</v>
          </cell>
        </row>
        <row r="60">
          <cell r="D60">
            <v>632026454</v>
          </cell>
          <cell r="E60">
            <v>169913350</v>
          </cell>
        </row>
        <row r="63">
          <cell r="D63">
            <v>24345000</v>
          </cell>
          <cell r="E63">
            <v>900000</v>
          </cell>
        </row>
        <row r="67">
          <cell r="D67">
            <v>458379450</v>
          </cell>
          <cell r="E67">
            <v>85476000</v>
          </cell>
        </row>
        <row r="70">
          <cell r="D70">
            <v>16986500</v>
          </cell>
          <cell r="E70">
            <v>0</v>
          </cell>
        </row>
        <row r="73">
          <cell r="D73">
            <v>23362500</v>
          </cell>
          <cell r="E73">
            <v>0</v>
          </cell>
        </row>
        <row r="76">
          <cell r="D76">
            <v>21540500</v>
          </cell>
          <cell r="E76">
            <v>0</v>
          </cell>
        </row>
        <row r="81">
          <cell r="D81">
            <v>199785000</v>
          </cell>
          <cell r="E81">
            <v>46313051</v>
          </cell>
        </row>
        <row r="84">
          <cell r="D84">
            <v>28764000</v>
          </cell>
          <cell r="E84">
            <v>0</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eb 17"/>
      <sheetName val="Januari 17"/>
      <sheetName val="Maret 17 "/>
      <sheetName val="April 17"/>
      <sheetName val="MEI 17"/>
      <sheetName val="juni 17"/>
      <sheetName val="Juli 17"/>
      <sheetName val="Agust 17"/>
      <sheetName val="Sept 17"/>
      <sheetName val="Okt 17"/>
      <sheetName val="NOV 17 "/>
      <sheetName val="DES 17"/>
      <sheetName val="Pembgian Triwulan"/>
      <sheetName val="UP"/>
    </sheetNames>
    <sheetDataSet>
      <sheetData sheetId="0" refreshError="1"/>
      <sheetData sheetId="1" refreshError="1"/>
      <sheetData sheetId="2" refreshError="1">
        <row r="16">
          <cell r="H16">
            <v>12526950</v>
          </cell>
        </row>
        <row r="70">
          <cell r="H70">
            <v>0</v>
          </cell>
        </row>
      </sheetData>
      <sheetData sheetId="3" refreshError="1"/>
      <sheetData sheetId="4" refreshError="1"/>
      <sheetData sheetId="5" refreshError="1">
        <row r="16">
          <cell r="H16">
            <v>26255600</v>
          </cell>
        </row>
        <row r="99">
          <cell r="H99">
            <v>0</v>
          </cell>
        </row>
        <row r="112">
          <cell r="H112">
            <v>0</v>
          </cell>
        </row>
      </sheetData>
      <sheetData sheetId="6" refreshError="1"/>
      <sheetData sheetId="7" refreshError="1"/>
      <sheetData sheetId="8" refreshError="1">
        <row r="16">
          <cell r="H16">
            <v>36781700</v>
          </cell>
        </row>
        <row r="116">
          <cell r="H116">
            <v>0</v>
          </cell>
        </row>
      </sheetData>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4">
          <cell r="T14">
            <v>360676156.80000001</v>
          </cell>
        </row>
        <row r="15">
          <cell r="T15">
            <v>916665187.79999995</v>
          </cell>
        </row>
        <row r="16">
          <cell r="T16">
            <v>69912848.5</v>
          </cell>
        </row>
        <row r="17">
          <cell r="T17">
            <v>191141155.22</v>
          </cell>
        </row>
        <row r="18">
          <cell r="T18">
            <v>139854012</v>
          </cell>
        </row>
        <row r="19">
          <cell r="T19">
            <v>88070025.640000001</v>
          </cell>
        </row>
        <row r="20">
          <cell r="T20">
            <v>43400000</v>
          </cell>
        </row>
        <row r="21">
          <cell r="T21">
            <v>332784200</v>
          </cell>
        </row>
        <row r="22">
          <cell r="T22">
            <v>812554925</v>
          </cell>
        </row>
        <row r="23">
          <cell r="T23">
            <v>470861300</v>
          </cell>
        </row>
        <row r="24">
          <cell r="T24">
            <v>169465771.46000001</v>
          </cell>
        </row>
        <row r="35">
          <cell r="T35">
            <v>66492100</v>
          </cell>
        </row>
        <row r="36">
          <cell r="T36">
            <v>1273397255</v>
          </cell>
        </row>
        <row r="38">
          <cell r="T38">
            <v>243767000</v>
          </cell>
        </row>
        <row r="39">
          <cell r="T39">
            <v>372275000</v>
          </cell>
        </row>
        <row r="40">
          <cell r="T40">
            <v>555488250</v>
          </cell>
        </row>
        <row r="43">
          <cell r="T43">
            <v>380650000</v>
          </cell>
        </row>
        <row r="45">
          <cell r="T45">
            <v>256245000</v>
          </cell>
        </row>
        <row r="47">
          <cell r="T47">
            <v>59781283.799999997</v>
          </cell>
        </row>
        <row r="49">
          <cell r="T49">
            <v>761078432.92299998</v>
          </cell>
        </row>
        <row r="50">
          <cell r="T50">
            <v>340178662.88080001</v>
          </cell>
        </row>
        <row r="51">
          <cell r="T51">
            <v>431617954.80000001</v>
          </cell>
        </row>
        <row r="52">
          <cell r="T52">
            <v>1780479098.8699999</v>
          </cell>
        </row>
        <row r="53">
          <cell r="T53">
            <v>597638000</v>
          </cell>
        </row>
        <row r="54">
          <cell r="T54">
            <v>515247928.80000001</v>
          </cell>
        </row>
        <row r="56">
          <cell r="T56">
            <v>863911760.39999998</v>
          </cell>
        </row>
        <row r="57">
          <cell r="T57">
            <v>739387489.20000005</v>
          </cell>
        </row>
        <row r="58">
          <cell r="T58">
            <v>662667556.00999999</v>
          </cell>
        </row>
        <row r="60">
          <cell r="T60">
            <v>1283069606.1099999</v>
          </cell>
        </row>
        <row r="61">
          <cell r="T61">
            <v>928199725.26999998</v>
          </cell>
        </row>
        <row r="62">
          <cell r="T62">
            <v>1019224804.71</v>
          </cell>
        </row>
        <row r="63">
          <cell r="T63">
            <v>105676820</v>
          </cell>
        </row>
        <row r="64">
          <cell r="T64">
            <v>64596764</v>
          </cell>
        </row>
        <row r="65">
          <cell r="T65">
            <v>86765000</v>
          </cell>
        </row>
        <row r="66">
          <cell r="T66">
            <v>79565000</v>
          </cell>
        </row>
        <row r="67">
          <cell r="T67">
            <v>81365000</v>
          </cell>
        </row>
        <row r="68">
          <cell r="T68">
            <v>47611000</v>
          </cell>
        </row>
        <row r="69">
          <cell r="T69">
            <v>710949800</v>
          </cell>
        </row>
        <row r="72">
          <cell r="T72">
            <v>165000000</v>
          </cell>
        </row>
        <row r="73">
          <cell r="T73">
            <v>79551516</v>
          </cell>
        </row>
        <row r="74">
          <cell r="T74">
            <v>72640284</v>
          </cell>
        </row>
        <row r="75">
          <cell r="T75">
            <v>121040363</v>
          </cell>
        </row>
      </sheetData>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3">
          <cell r="C3">
            <v>55.885580852524733</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X35"/>
  <sheetViews>
    <sheetView tabSelected="1" zoomScale="70" zoomScaleNormal="70" workbookViewId="0">
      <selection activeCell="H9" sqref="H9"/>
    </sheetView>
  </sheetViews>
  <sheetFormatPr defaultRowHeight="12.75"/>
  <cols>
    <col min="1" max="1" width="5" style="54" customWidth="1"/>
    <col min="2" max="2" width="16.7109375" style="54" customWidth="1"/>
    <col min="3" max="8" width="4.28515625" style="149" customWidth="1"/>
    <col min="9" max="9" width="23.85546875" style="54" customWidth="1"/>
    <col min="10" max="10" width="15.5703125" style="54" customWidth="1"/>
    <col min="11" max="11" width="9.5703125" style="2292" customWidth="1"/>
    <col min="12" max="12" width="17.28515625" style="2292" customWidth="1"/>
    <col min="13" max="13" width="10.7109375" style="2292" customWidth="1"/>
    <col min="14" max="14" width="18" style="2292" customWidth="1"/>
    <col min="15" max="15" width="9.28515625" style="2292" customWidth="1"/>
    <col min="16" max="16" width="16" style="2292" customWidth="1"/>
    <col min="17" max="17" width="8.42578125" style="2292" customWidth="1"/>
    <col min="18" max="18" width="15" style="54" customWidth="1"/>
    <col min="19" max="19" width="5.28515625" style="54" customWidth="1"/>
    <col min="20" max="20" width="7" style="54" customWidth="1"/>
    <col min="21" max="21" width="5.28515625" style="54" customWidth="1"/>
    <col min="22" max="22" width="5.42578125" style="54" customWidth="1"/>
    <col min="23" max="23" width="5.28515625" style="54" customWidth="1"/>
    <col min="24" max="24" width="6.28515625" style="54" customWidth="1"/>
    <col min="25" max="25" width="8.85546875" style="2292" customWidth="1"/>
    <col min="26" max="26" width="15" style="2297" customWidth="1"/>
    <col min="27" max="27" width="10.140625" style="2292" customWidth="1"/>
    <col min="28" max="28" width="14.42578125" style="2297" customWidth="1"/>
    <col min="29" max="29" width="8.5703125" style="2292" customWidth="1"/>
    <col min="30" max="30" width="9.42578125" style="2292" customWidth="1"/>
    <col min="31" max="31" width="13.5703125" style="149" customWidth="1"/>
    <col min="32" max="32" width="9.140625" style="63"/>
    <col min="33" max="33" width="17.5703125" style="63" bestFit="1" customWidth="1"/>
    <col min="34" max="34" width="9.140625" style="63"/>
    <col min="35" max="35" width="15.28515625" style="63" bestFit="1" customWidth="1"/>
    <col min="36" max="36" width="9.140625" style="63"/>
    <col min="37" max="37" width="15.85546875" style="63" customWidth="1"/>
    <col min="38" max="38" width="9.140625" style="63"/>
    <col min="39" max="39" width="15.28515625" style="63" customWidth="1"/>
    <col min="40" max="76" width="9.140625" style="63"/>
    <col min="77" max="16384" width="9.140625" style="54"/>
  </cols>
  <sheetData>
    <row r="1" spans="1:76" ht="18">
      <c r="A1" s="2348" t="s">
        <v>2976</v>
      </c>
      <c r="B1" s="2348"/>
      <c r="C1" s="2348"/>
      <c r="D1" s="2348"/>
      <c r="E1" s="2348"/>
      <c r="F1" s="2348"/>
      <c r="G1" s="2348"/>
      <c r="H1" s="2348"/>
      <c r="I1" s="2348"/>
      <c r="J1" s="2348"/>
      <c r="K1" s="2348"/>
      <c r="L1" s="2348"/>
      <c r="M1" s="2348"/>
      <c r="N1" s="2348"/>
      <c r="O1" s="2348"/>
      <c r="P1" s="2348"/>
      <c r="Q1" s="2348"/>
      <c r="R1" s="2348"/>
      <c r="S1" s="2348"/>
      <c r="T1" s="2348"/>
      <c r="U1" s="2348"/>
      <c r="V1" s="2348"/>
      <c r="W1" s="2348"/>
      <c r="X1" s="2348"/>
      <c r="Y1" s="2348"/>
      <c r="Z1" s="2348"/>
      <c r="AA1" s="2348"/>
      <c r="AB1" s="2348"/>
      <c r="AC1" s="2348"/>
      <c r="AD1" s="2348"/>
      <c r="AE1" s="2348"/>
    </row>
    <row r="2" spans="1:76" ht="18">
      <c r="A2" s="2348" t="s">
        <v>2977</v>
      </c>
      <c r="B2" s="2348"/>
      <c r="C2" s="2348"/>
      <c r="D2" s="2348"/>
      <c r="E2" s="2348"/>
      <c r="F2" s="2348"/>
      <c r="G2" s="2348"/>
      <c r="H2" s="2348"/>
      <c r="I2" s="2348"/>
      <c r="J2" s="2348"/>
      <c r="K2" s="2348"/>
      <c r="L2" s="2348"/>
      <c r="M2" s="2348"/>
      <c r="N2" s="2348"/>
      <c r="O2" s="2348"/>
      <c r="P2" s="2348"/>
      <c r="Q2" s="2348"/>
      <c r="R2" s="2348"/>
      <c r="S2" s="2348"/>
      <c r="T2" s="2348"/>
      <c r="U2" s="2348"/>
      <c r="V2" s="2348"/>
      <c r="W2" s="2348"/>
      <c r="X2" s="2348"/>
      <c r="Y2" s="2348"/>
      <c r="Z2" s="2348"/>
      <c r="AA2" s="2348"/>
      <c r="AB2" s="2348"/>
      <c r="AC2" s="2348"/>
      <c r="AD2" s="2348"/>
      <c r="AE2" s="2348"/>
    </row>
    <row r="3" spans="1:76" ht="18">
      <c r="A3" s="2348" t="s">
        <v>2978</v>
      </c>
      <c r="B3" s="2348"/>
      <c r="C3" s="2348"/>
      <c r="D3" s="2348"/>
      <c r="E3" s="2348"/>
      <c r="F3" s="2348"/>
      <c r="G3" s="2348"/>
      <c r="H3" s="2348"/>
      <c r="I3" s="2348"/>
      <c r="J3" s="2348"/>
      <c r="K3" s="2348"/>
      <c r="L3" s="2348"/>
      <c r="M3" s="2348"/>
      <c r="N3" s="2348"/>
      <c r="O3" s="2348"/>
      <c r="P3" s="2348"/>
      <c r="Q3" s="2348"/>
      <c r="R3" s="2348"/>
      <c r="S3" s="2348"/>
      <c r="T3" s="2348"/>
      <c r="U3" s="2348"/>
      <c r="V3" s="2348"/>
      <c r="W3" s="2348"/>
      <c r="X3" s="2348"/>
      <c r="Y3" s="2348"/>
      <c r="Z3" s="2348"/>
      <c r="AA3" s="2348"/>
      <c r="AB3" s="2348"/>
      <c r="AC3" s="2348"/>
      <c r="AD3" s="2348"/>
      <c r="AE3" s="2348"/>
    </row>
    <row r="4" spans="1:76" ht="26.25" customHeight="1"/>
    <row r="5" spans="1:76" ht="83.25" customHeight="1">
      <c r="A5" s="2361" t="s">
        <v>1</v>
      </c>
      <c r="B5" s="2361" t="s">
        <v>2</v>
      </c>
      <c r="C5" s="2349" t="s">
        <v>60</v>
      </c>
      <c r="D5" s="2350"/>
      <c r="E5" s="2350"/>
      <c r="F5" s="2350"/>
      <c r="G5" s="2350"/>
      <c r="H5" s="2351"/>
      <c r="I5" s="2359" t="s">
        <v>2975</v>
      </c>
      <c r="J5" s="2359" t="s">
        <v>118</v>
      </c>
      <c r="K5" s="2352" t="s">
        <v>121</v>
      </c>
      <c r="L5" s="2353"/>
      <c r="M5" s="2352" t="s">
        <v>127</v>
      </c>
      <c r="N5" s="2353"/>
      <c r="O5" s="2352" t="s">
        <v>119</v>
      </c>
      <c r="P5" s="2353"/>
      <c r="Q5" s="2349" t="s">
        <v>120</v>
      </c>
      <c r="R5" s="2350"/>
      <c r="S5" s="2350"/>
      <c r="T5" s="2350"/>
      <c r="U5" s="2350"/>
      <c r="V5" s="2350"/>
      <c r="W5" s="2350"/>
      <c r="X5" s="2351"/>
      <c r="Y5" s="2352" t="s">
        <v>2969</v>
      </c>
      <c r="Z5" s="2353"/>
      <c r="AA5" s="2352" t="s">
        <v>128</v>
      </c>
      <c r="AB5" s="2353"/>
      <c r="AC5" s="2352" t="s">
        <v>125</v>
      </c>
      <c r="AD5" s="2353"/>
      <c r="AE5" s="2359" t="s">
        <v>126</v>
      </c>
    </row>
    <row r="6" spans="1:76" ht="13.5" customHeight="1">
      <c r="A6" s="2362"/>
      <c r="B6" s="2362"/>
      <c r="C6" s="2356"/>
      <c r="D6" s="2357"/>
      <c r="E6" s="2357"/>
      <c r="F6" s="2357"/>
      <c r="G6" s="2357"/>
      <c r="H6" s="2358"/>
      <c r="I6" s="2360"/>
      <c r="J6" s="2360"/>
      <c r="K6" s="2354"/>
      <c r="L6" s="2355"/>
      <c r="M6" s="2354"/>
      <c r="N6" s="2355"/>
      <c r="O6" s="2354"/>
      <c r="P6" s="2355"/>
      <c r="Q6" s="2363" t="s">
        <v>30</v>
      </c>
      <c r="R6" s="2364"/>
      <c r="S6" s="2363" t="s">
        <v>31</v>
      </c>
      <c r="T6" s="2364"/>
      <c r="U6" s="2363" t="s">
        <v>122</v>
      </c>
      <c r="V6" s="2364"/>
      <c r="W6" s="2363" t="s">
        <v>123</v>
      </c>
      <c r="X6" s="2364"/>
      <c r="Y6" s="2354"/>
      <c r="Z6" s="2355"/>
      <c r="AA6" s="2354"/>
      <c r="AB6" s="2355"/>
      <c r="AC6" s="2354"/>
      <c r="AD6" s="2355"/>
      <c r="AE6" s="2360"/>
    </row>
    <row r="7" spans="1:76" s="55" customFormat="1" ht="18" customHeight="1">
      <c r="A7" s="2367">
        <v>1</v>
      </c>
      <c r="B7" s="2367">
        <v>2</v>
      </c>
      <c r="C7" s="2365">
        <v>3</v>
      </c>
      <c r="D7" s="2369"/>
      <c r="E7" s="2369"/>
      <c r="F7" s="2369"/>
      <c r="G7" s="2369"/>
      <c r="H7" s="2366"/>
      <c r="I7" s="2367">
        <v>4</v>
      </c>
      <c r="J7" s="2367">
        <v>5</v>
      </c>
      <c r="K7" s="2365">
        <v>6</v>
      </c>
      <c r="L7" s="2366"/>
      <c r="M7" s="2365">
        <v>7</v>
      </c>
      <c r="N7" s="2366"/>
      <c r="O7" s="2365">
        <v>8</v>
      </c>
      <c r="P7" s="2366"/>
      <c r="Q7" s="2365">
        <v>9</v>
      </c>
      <c r="R7" s="2366"/>
      <c r="S7" s="2365">
        <v>10</v>
      </c>
      <c r="T7" s="2366"/>
      <c r="U7" s="2365">
        <v>11</v>
      </c>
      <c r="V7" s="2366"/>
      <c r="W7" s="2365">
        <v>12</v>
      </c>
      <c r="X7" s="2366"/>
      <c r="Y7" s="2365">
        <v>13</v>
      </c>
      <c r="Z7" s="2366"/>
      <c r="AA7" s="2365" t="s">
        <v>61</v>
      </c>
      <c r="AB7" s="2366"/>
      <c r="AC7" s="2380" t="s">
        <v>62</v>
      </c>
      <c r="AD7" s="2381"/>
      <c r="AE7" s="2374">
        <v>16</v>
      </c>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row>
    <row r="8" spans="1:76" s="2282" customFormat="1" ht="18.75" customHeight="1">
      <c r="A8" s="2368"/>
      <c r="B8" s="2368"/>
      <c r="C8" s="2370"/>
      <c r="D8" s="2371"/>
      <c r="E8" s="2371"/>
      <c r="F8" s="2371"/>
      <c r="G8" s="2371"/>
      <c r="H8" s="2372"/>
      <c r="I8" s="2368"/>
      <c r="J8" s="2368"/>
      <c r="K8" s="66" t="s">
        <v>51</v>
      </c>
      <c r="L8" s="66" t="s">
        <v>81</v>
      </c>
      <c r="M8" s="66" t="s">
        <v>51</v>
      </c>
      <c r="N8" s="66" t="s">
        <v>81</v>
      </c>
      <c r="O8" s="66" t="s">
        <v>51</v>
      </c>
      <c r="P8" s="66" t="s">
        <v>2968</v>
      </c>
      <c r="Q8" s="66" t="s">
        <v>51</v>
      </c>
      <c r="R8" s="66" t="s">
        <v>81</v>
      </c>
      <c r="S8" s="66" t="s">
        <v>51</v>
      </c>
      <c r="T8" s="66" t="s">
        <v>2968</v>
      </c>
      <c r="U8" s="66" t="s">
        <v>51</v>
      </c>
      <c r="V8" s="66" t="s">
        <v>2968</v>
      </c>
      <c r="W8" s="66" t="s">
        <v>51</v>
      </c>
      <c r="X8" s="66" t="s">
        <v>81</v>
      </c>
      <c r="Y8" s="66" t="s">
        <v>51</v>
      </c>
      <c r="Z8" s="2298" t="s">
        <v>81</v>
      </c>
      <c r="AA8" s="66" t="s">
        <v>51</v>
      </c>
      <c r="AB8" s="2298" t="s">
        <v>81</v>
      </c>
      <c r="AC8" s="66" t="s">
        <v>51</v>
      </c>
      <c r="AD8" s="66" t="s">
        <v>81</v>
      </c>
      <c r="AE8" s="2375"/>
      <c r="AF8" s="2312"/>
      <c r="AG8" s="2312"/>
      <c r="AH8" s="2312"/>
      <c r="AI8" s="2312"/>
      <c r="AJ8" s="2312"/>
      <c r="AK8" s="2312"/>
      <c r="AL8" s="2312"/>
      <c r="AM8" s="2312"/>
      <c r="AN8" s="2312"/>
      <c r="AO8" s="2312"/>
      <c r="AP8" s="2312"/>
      <c r="AQ8" s="2312"/>
      <c r="AR8" s="2312"/>
      <c r="AS8" s="2312"/>
      <c r="AT8" s="2312"/>
      <c r="AU8" s="2312"/>
      <c r="AV8" s="2312"/>
      <c r="AW8" s="2312"/>
      <c r="AX8" s="2312"/>
      <c r="AY8" s="2312"/>
      <c r="AZ8" s="2312"/>
      <c r="BA8" s="2312"/>
      <c r="BB8" s="2312"/>
      <c r="BC8" s="2312"/>
      <c r="BD8" s="2312"/>
      <c r="BE8" s="2312"/>
      <c r="BF8" s="2312"/>
      <c r="BG8" s="2312"/>
      <c r="BH8" s="2312"/>
      <c r="BI8" s="2312"/>
      <c r="BJ8" s="2312"/>
      <c r="BK8" s="2312"/>
      <c r="BL8" s="2312"/>
      <c r="BM8" s="2312"/>
      <c r="BN8" s="2312"/>
      <c r="BO8" s="2312"/>
      <c r="BP8" s="2312"/>
      <c r="BQ8" s="2312"/>
      <c r="BR8" s="2312"/>
      <c r="BS8" s="2312"/>
      <c r="BT8" s="2312"/>
      <c r="BU8" s="2312"/>
      <c r="BV8" s="2312"/>
      <c r="BW8" s="2312"/>
      <c r="BX8" s="2312"/>
    </row>
    <row r="9" spans="1:76" s="69" customFormat="1" ht="30" customHeight="1">
      <c r="A9" s="70"/>
      <c r="B9" s="70"/>
      <c r="C9" s="560"/>
      <c r="D9" s="560"/>
      <c r="E9" s="560"/>
      <c r="F9" s="560"/>
      <c r="G9" s="560"/>
      <c r="H9" s="560"/>
      <c r="I9" s="71" t="s">
        <v>113</v>
      </c>
      <c r="J9" s="70"/>
      <c r="K9" s="2293"/>
      <c r="L9" s="2293"/>
      <c r="M9" s="2293"/>
      <c r="N9" s="2293"/>
      <c r="O9" s="2293"/>
      <c r="P9" s="2293"/>
      <c r="Q9" s="2293"/>
      <c r="R9" s="70"/>
      <c r="S9" s="70"/>
      <c r="T9" s="70"/>
      <c r="U9" s="70"/>
      <c r="V9" s="70"/>
      <c r="W9" s="70"/>
      <c r="X9" s="70"/>
      <c r="Y9" s="2293"/>
      <c r="Z9" s="2299"/>
      <c r="AA9" s="2293"/>
      <c r="AB9" s="2299"/>
      <c r="AC9" s="2293"/>
      <c r="AD9" s="2293"/>
      <c r="AE9" s="560"/>
      <c r="AF9" s="656"/>
      <c r="AG9" s="656"/>
      <c r="AH9" s="656"/>
      <c r="AI9" s="656"/>
      <c r="AJ9" s="656"/>
      <c r="AK9" s="656"/>
      <c r="AL9" s="656"/>
      <c r="AM9" s="656"/>
      <c r="AN9" s="656"/>
      <c r="AO9" s="656"/>
      <c r="AP9" s="656"/>
      <c r="AQ9" s="656"/>
      <c r="AR9" s="656"/>
      <c r="AS9" s="656"/>
      <c r="AT9" s="656"/>
      <c r="AU9" s="656"/>
      <c r="AV9" s="656"/>
      <c r="AW9" s="656"/>
      <c r="AX9" s="656"/>
      <c r="AY9" s="656"/>
      <c r="AZ9" s="656"/>
      <c r="BA9" s="656"/>
      <c r="BB9" s="656"/>
      <c r="BC9" s="656"/>
      <c r="BD9" s="656"/>
      <c r="BE9" s="656"/>
      <c r="BF9" s="656"/>
      <c r="BG9" s="656"/>
      <c r="BH9" s="656"/>
      <c r="BI9" s="656"/>
      <c r="BJ9" s="656"/>
      <c r="BK9" s="656"/>
      <c r="BL9" s="656"/>
      <c r="BM9" s="656"/>
      <c r="BN9" s="656"/>
      <c r="BO9" s="656"/>
      <c r="BP9" s="656"/>
      <c r="BQ9" s="656"/>
      <c r="BR9" s="656"/>
      <c r="BS9" s="656"/>
      <c r="BT9" s="656"/>
      <c r="BU9" s="656"/>
      <c r="BV9" s="656"/>
      <c r="BW9" s="656"/>
      <c r="BX9" s="656"/>
    </row>
    <row r="10" spans="1:76" s="69" customFormat="1" ht="38.25" customHeight="1">
      <c r="A10" s="72"/>
      <c r="B10" s="72"/>
      <c r="C10" s="561"/>
      <c r="D10" s="561"/>
      <c r="E10" s="561"/>
      <c r="F10" s="561"/>
      <c r="G10" s="561"/>
      <c r="H10" s="561"/>
      <c r="I10" s="73" t="s">
        <v>114</v>
      </c>
      <c r="J10" s="72"/>
      <c r="K10" s="2294"/>
      <c r="L10" s="2294"/>
      <c r="M10" s="2294"/>
      <c r="N10" s="2294"/>
      <c r="O10" s="2294"/>
      <c r="P10" s="2294"/>
      <c r="Q10" s="2294"/>
      <c r="R10" s="72"/>
      <c r="S10" s="72"/>
      <c r="T10" s="72"/>
      <c r="U10" s="72"/>
      <c r="V10" s="72"/>
      <c r="W10" s="72"/>
      <c r="X10" s="72"/>
      <c r="Y10" s="2294"/>
      <c r="Z10" s="2300"/>
      <c r="AA10" s="2294"/>
      <c r="AB10" s="2300"/>
      <c r="AC10" s="2294"/>
      <c r="AD10" s="2294"/>
      <c r="AE10" s="561"/>
      <c r="AF10" s="656"/>
      <c r="AG10" s="656"/>
      <c r="AH10" s="656"/>
      <c r="AI10" s="656"/>
      <c r="AJ10" s="656"/>
      <c r="AK10" s="656"/>
      <c r="AL10" s="656"/>
      <c r="AM10" s="656"/>
      <c r="AN10" s="656"/>
      <c r="AO10" s="656"/>
      <c r="AP10" s="656"/>
      <c r="AQ10" s="656"/>
      <c r="AR10" s="656"/>
      <c r="AS10" s="656"/>
      <c r="AT10" s="656"/>
      <c r="AU10" s="656"/>
      <c r="AV10" s="656"/>
      <c r="AW10" s="656"/>
      <c r="AX10" s="656"/>
      <c r="AY10" s="656"/>
      <c r="AZ10" s="656"/>
      <c r="BA10" s="656"/>
      <c r="BB10" s="656"/>
      <c r="BC10" s="656"/>
      <c r="BD10" s="656"/>
      <c r="BE10" s="656"/>
      <c r="BF10" s="656"/>
      <c r="BG10" s="656"/>
      <c r="BH10" s="656"/>
      <c r="BI10" s="656"/>
      <c r="BJ10" s="656"/>
      <c r="BK10" s="656"/>
      <c r="BL10" s="656"/>
      <c r="BM10" s="656"/>
      <c r="BN10" s="656"/>
      <c r="BO10" s="656"/>
      <c r="BP10" s="656"/>
      <c r="BQ10" s="656"/>
      <c r="BR10" s="656"/>
      <c r="BS10" s="656"/>
      <c r="BT10" s="656"/>
      <c r="BU10" s="656"/>
      <c r="BV10" s="656"/>
      <c r="BW10" s="656"/>
      <c r="BX10" s="656"/>
    </row>
    <row r="11" spans="1:76" s="69" customFormat="1" ht="27" customHeight="1">
      <c r="A11" s="366" t="s">
        <v>30</v>
      </c>
      <c r="B11" s="67"/>
      <c r="C11" s="366"/>
      <c r="D11" s="366"/>
      <c r="E11" s="366"/>
      <c r="F11" s="366"/>
      <c r="G11" s="366"/>
      <c r="H11" s="366"/>
      <c r="I11" s="68" t="s">
        <v>2979</v>
      </c>
      <c r="J11" s="67"/>
      <c r="K11" s="2295"/>
      <c r="L11" s="2295"/>
      <c r="M11" s="2295"/>
      <c r="N11" s="2295"/>
      <c r="O11" s="2295"/>
      <c r="P11" s="2295"/>
      <c r="Q11" s="2295"/>
      <c r="R11" s="67"/>
      <c r="S11" s="67"/>
      <c r="T11" s="67"/>
      <c r="U11" s="67"/>
      <c r="V11" s="67"/>
      <c r="W11" s="67"/>
      <c r="X11" s="67"/>
      <c r="Y11" s="2295"/>
      <c r="Z11" s="2301"/>
      <c r="AA11" s="2295"/>
      <c r="AB11" s="2301"/>
      <c r="AC11" s="2295"/>
      <c r="AD11" s="2295"/>
      <c r="AE11" s="366"/>
      <c r="AF11" s="656"/>
      <c r="AG11" s="656"/>
      <c r="AH11" s="656"/>
      <c r="AI11" s="656"/>
      <c r="AJ11" s="656"/>
      <c r="AK11" s="656"/>
      <c r="AL11" s="656"/>
      <c r="AM11" s="656"/>
      <c r="AN11" s="656"/>
      <c r="AO11" s="656"/>
      <c r="AP11" s="656"/>
      <c r="AQ11" s="656"/>
      <c r="AR11" s="656"/>
      <c r="AS11" s="656"/>
      <c r="AT11" s="656"/>
      <c r="AU11" s="656"/>
      <c r="AV11" s="656"/>
      <c r="AW11" s="656"/>
      <c r="AX11" s="656"/>
      <c r="AY11" s="656"/>
      <c r="AZ11" s="656"/>
      <c r="BA11" s="656"/>
      <c r="BB11" s="656"/>
      <c r="BC11" s="656"/>
      <c r="BD11" s="656"/>
      <c r="BE11" s="656"/>
      <c r="BF11" s="656"/>
      <c r="BG11" s="656"/>
      <c r="BH11" s="656"/>
      <c r="BI11" s="656"/>
      <c r="BJ11" s="656"/>
      <c r="BK11" s="656"/>
      <c r="BL11" s="656"/>
      <c r="BM11" s="656"/>
      <c r="BN11" s="656"/>
      <c r="BO11" s="656"/>
      <c r="BP11" s="656"/>
      <c r="BQ11" s="656"/>
      <c r="BR11" s="656"/>
      <c r="BS11" s="656"/>
      <c r="BT11" s="656"/>
      <c r="BU11" s="656"/>
      <c r="BV11" s="656"/>
      <c r="BW11" s="656"/>
      <c r="BX11" s="656"/>
    </row>
    <row r="12" spans="1:76" s="159" customFormat="1" ht="63" customHeight="1">
      <c r="A12" s="2266">
        <v>1</v>
      </c>
      <c r="B12" s="2266"/>
      <c r="C12" s="2289" t="s">
        <v>66</v>
      </c>
      <c r="D12" s="2289" t="s">
        <v>66</v>
      </c>
      <c r="E12" s="2289" t="s">
        <v>66</v>
      </c>
      <c r="F12" s="2289" t="s">
        <v>66</v>
      </c>
      <c r="G12" s="2289" t="s">
        <v>66</v>
      </c>
      <c r="H12" s="2296"/>
      <c r="I12" s="2267" t="s">
        <v>2980</v>
      </c>
      <c r="J12" s="2267"/>
      <c r="K12" s="2280"/>
      <c r="L12" s="2268">
        <f>SUM(L13:L14)</f>
        <v>0</v>
      </c>
      <c r="M12" s="2280"/>
      <c r="N12" s="2268">
        <f>SUM(N13:N14)</f>
        <v>0</v>
      </c>
      <c r="O12" s="2280"/>
      <c r="P12" s="2268">
        <f>SUM(P13:P14)</f>
        <v>0</v>
      </c>
      <c r="Q12" s="2280">
        <f>O12/4</f>
        <v>0</v>
      </c>
      <c r="R12" s="2268">
        <f>SUM(R13:R14)</f>
        <v>0</v>
      </c>
      <c r="S12" s="2269"/>
      <c r="T12" s="2269"/>
      <c r="U12" s="2269"/>
      <c r="V12" s="2269"/>
      <c r="W12" s="2269"/>
      <c r="X12" s="2269"/>
      <c r="Y12" s="2279">
        <f>Q12+S12+U12+W12</f>
        <v>0</v>
      </c>
      <c r="Z12" s="2302">
        <f>SUM(Z13:Z14)</f>
        <v>0</v>
      </c>
      <c r="AA12" s="2279">
        <f>M12+Y12</f>
        <v>0</v>
      </c>
      <c r="AB12" s="2302">
        <f>SUM(AB13:AB14)</f>
        <v>0</v>
      </c>
      <c r="AC12" s="2279" t="e">
        <f>(AA12/K12)*100</f>
        <v>#DIV/0!</v>
      </c>
      <c r="AD12" s="2279" t="e">
        <f t="shared" ref="AD12:AD14" si="0">(AB12/L12)*100</f>
        <v>#DIV/0!</v>
      </c>
      <c r="AE12" s="2278" t="s">
        <v>2981</v>
      </c>
      <c r="AF12" s="2264"/>
      <c r="AG12" s="2264"/>
      <c r="AH12" s="2264"/>
      <c r="AI12" s="2264"/>
      <c r="AJ12" s="2264"/>
      <c r="AK12" s="2264"/>
      <c r="AL12" s="2264"/>
      <c r="AM12" s="2264"/>
      <c r="AN12" s="2264"/>
      <c r="AO12" s="2264"/>
      <c r="AP12" s="2264"/>
      <c r="AQ12" s="2264"/>
      <c r="AR12" s="2264"/>
      <c r="AS12" s="2264"/>
      <c r="AT12" s="2264"/>
      <c r="AU12" s="2264"/>
      <c r="AV12" s="2264"/>
      <c r="AW12" s="2264"/>
      <c r="AX12" s="2264"/>
      <c r="AY12" s="2264"/>
      <c r="AZ12" s="2264"/>
      <c r="BA12" s="2264"/>
      <c r="BB12" s="2264"/>
      <c r="BC12" s="2264"/>
      <c r="BD12" s="2264"/>
      <c r="BE12" s="2264"/>
      <c r="BF12" s="2264"/>
      <c r="BG12" s="2264"/>
      <c r="BH12" s="2264"/>
      <c r="BI12" s="2264"/>
      <c r="BJ12" s="2264"/>
      <c r="BK12" s="2264"/>
      <c r="BL12" s="2264"/>
      <c r="BM12" s="2264"/>
      <c r="BN12" s="2264"/>
      <c r="BO12" s="2264"/>
      <c r="BP12" s="2264"/>
      <c r="BQ12" s="2264"/>
      <c r="BR12" s="2264"/>
      <c r="BS12" s="2264"/>
      <c r="BT12" s="2264"/>
      <c r="BU12" s="2264"/>
      <c r="BV12" s="2264"/>
      <c r="BW12" s="2264"/>
      <c r="BX12" s="2264"/>
    </row>
    <row r="13" spans="1:76" s="159" customFormat="1" ht="58.5" customHeight="1">
      <c r="A13" s="248"/>
      <c r="B13" s="233"/>
      <c r="C13" s="238" t="s">
        <v>66</v>
      </c>
      <c r="D13" s="238" t="s">
        <v>66</v>
      </c>
      <c r="E13" s="238" t="s">
        <v>66</v>
      </c>
      <c r="F13" s="238" t="s">
        <v>66</v>
      </c>
      <c r="G13" s="238" t="s">
        <v>66</v>
      </c>
      <c r="H13" s="247" t="s">
        <v>65</v>
      </c>
      <c r="I13" s="246" t="s">
        <v>2982</v>
      </c>
      <c r="J13" s="246"/>
      <c r="K13" s="338"/>
      <c r="L13" s="224"/>
      <c r="M13" s="338"/>
      <c r="N13" s="2283"/>
      <c r="O13" s="338"/>
      <c r="P13" s="250"/>
      <c r="Q13" s="338"/>
      <c r="R13" s="224"/>
      <c r="S13" s="279"/>
      <c r="T13" s="280"/>
      <c r="U13" s="279"/>
      <c r="V13" s="279"/>
      <c r="W13" s="279"/>
      <c r="X13" s="279"/>
      <c r="Y13" s="338">
        <v>0</v>
      </c>
      <c r="Z13" s="2303">
        <f>R13+T13+V13+X13</f>
        <v>0</v>
      </c>
      <c r="AA13" s="338">
        <f>M13+Y13</f>
        <v>0</v>
      </c>
      <c r="AB13" s="2303">
        <f>N13+Z13</f>
        <v>0</v>
      </c>
      <c r="AC13" s="2270" t="e">
        <f>(AA13/K13)*100</f>
        <v>#DIV/0!</v>
      </c>
      <c r="AD13" s="2270" t="e">
        <f t="shared" si="0"/>
        <v>#DIV/0!</v>
      </c>
      <c r="AE13" s="245"/>
      <c r="AF13" s="2264"/>
      <c r="AG13" s="2264"/>
      <c r="AH13" s="2264"/>
      <c r="AI13" s="2264"/>
      <c r="AJ13" s="2264"/>
      <c r="AK13" s="2264"/>
      <c r="AL13" s="2264"/>
      <c r="AM13" s="2264"/>
      <c r="AN13" s="2264"/>
      <c r="AO13" s="2264"/>
      <c r="AP13" s="2264"/>
      <c r="AQ13" s="2264"/>
      <c r="AR13" s="2264"/>
      <c r="AS13" s="2264"/>
      <c r="AT13" s="2264"/>
      <c r="AU13" s="2264"/>
      <c r="AV13" s="2264"/>
      <c r="AW13" s="2264"/>
      <c r="AX13" s="2264"/>
      <c r="AY13" s="2264"/>
      <c r="AZ13" s="2264"/>
      <c r="BA13" s="2264"/>
      <c r="BB13" s="2264"/>
      <c r="BC13" s="2264"/>
      <c r="BD13" s="2264"/>
      <c r="BE13" s="2264"/>
      <c r="BF13" s="2264"/>
      <c r="BG13" s="2264"/>
      <c r="BH13" s="2264"/>
      <c r="BI13" s="2264"/>
      <c r="BJ13" s="2264"/>
      <c r="BK13" s="2264"/>
      <c r="BL13" s="2264"/>
      <c r="BM13" s="2264"/>
      <c r="BN13" s="2264"/>
      <c r="BO13" s="2264"/>
      <c r="BP13" s="2264"/>
      <c r="BQ13" s="2264"/>
      <c r="BR13" s="2264"/>
      <c r="BS13" s="2264"/>
      <c r="BT13" s="2264"/>
      <c r="BU13" s="2264"/>
      <c r="BV13" s="2264"/>
      <c r="BW13" s="2264"/>
      <c r="BX13" s="2264"/>
    </row>
    <row r="14" spans="1:76" s="159" customFormat="1" ht="48" customHeight="1">
      <c r="A14" s="248"/>
      <c r="B14" s="233"/>
      <c r="C14" s="238" t="s">
        <v>66</v>
      </c>
      <c r="D14" s="238" t="s">
        <v>66</v>
      </c>
      <c r="E14" s="238" t="s">
        <v>66</v>
      </c>
      <c r="F14" s="238" t="s">
        <v>66</v>
      </c>
      <c r="G14" s="238" t="s">
        <v>66</v>
      </c>
      <c r="H14" s="238" t="s">
        <v>198</v>
      </c>
      <c r="I14" s="246" t="s">
        <v>2982</v>
      </c>
      <c r="J14" s="233"/>
      <c r="K14" s="2284"/>
      <c r="L14" s="237"/>
      <c r="M14" s="338"/>
      <c r="N14" s="2271"/>
      <c r="O14" s="2284"/>
      <c r="P14" s="2271"/>
      <c r="Q14" s="338"/>
      <c r="R14" s="237"/>
      <c r="S14" s="2265"/>
      <c r="T14" s="280"/>
      <c r="U14" s="2265"/>
      <c r="V14" s="2265"/>
      <c r="W14" s="2265"/>
      <c r="X14" s="2265"/>
      <c r="Y14" s="338">
        <v>1</v>
      </c>
      <c r="Z14" s="2303">
        <f t="shared" ref="Z14" si="1">R14+T14+V14+X14</f>
        <v>0</v>
      </c>
      <c r="AA14" s="338">
        <f t="shared" ref="AA14:AB14" si="2">M14+Y14</f>
        <v>1</v>
      </c>
      <c r="AB14" s="2303">
        <f t="shared" si="2"/>
        <v>0</v>
      </c>
      <c r="AC14" s="2270" t="e">
        <f t="shared" ref="AC14" si="3">(AA14/K14)*100</f>
        <v>#DIV/0!</v>
      </c>
      <c r="AD14" s="2270" t="e">
        <f t="shared" si="0"/>
        <v>#DIV/0!</v>
      </c>
      <c r="AE14" s="245"/>
      <c r="AF14" s="2264"/>
      <c r="AG14" s="2264"/>
      <c r="AH14" s="2264"/>
      <c r="AI14" s="2264"/>
      <c r="AJ14" s="2264"/>
      <c r="AK14" s="2264"/>
      <c r="AL14" s="2264"/>
      <c r="AM14" s="2264"/>
      <c r="AN14" s="2264"/>
      <c r="AO14" s="2264"/>
      <c r="AP14" s="2264"/>
      <c r="AQ14" s="2264"/>
      <c r="AR14" s="2264"/>
      <c r="AS14" s="2264"/>
      <c r="AT14" s="2264"/>
      <c r="AU14" s="2264"/>
      <c r="AV14" s="2264"/>
      <c r="AW14" s="2264"/>
      <c r="AX14" s="2264"/>
      <c r="AY14" s="2264"/>
      <c r="AZ14" s="2264"/>
      <c r="BA14" s="2264"/>
      <c r="BB14" s="2264"/>
      <c r="BC14" s="2264"/>
      <c r="BD14" s="2264"/>
      <c r="BE14" s="2264"/>
      <c r="BF14" s="2264"/>
      <c r="BG14" s="2264"/>
      <c r="BH14" s="2264"/>
      <c r="BI14" s="2264"/>
      <c r="BJ14" s="2264"/>
      <c r="BK14" s="2264"/>
      <c r="BL14" s="2264"/>
      <c r="BM14" s="2264"/>
      <c r="BN14" s="2264"/>
      <c r="BO14" s="2264"/>
      <c r="BP14" s="2264"/>
      <c r="BQ14" s="2264"/>
      <c r="BR14" s="2264"/>
      <c r="BS14" s="2264"/>
      <c r="BT14" s="2264"/>
      <c r="BU14" s="2264"/>
      <c r="BV14" s="2264"/>
      <c r="BW14" s="2264"/>
      <c r="BX14" s="2264"/>
    </row>
    <row r="15" spans="1:76" s="159" customFormat="1" ht="62.25" customHeight="1">
      <c r="A15" s="2274">
        <v>2</v>
      </c>
      <c r="B15" s="2267"/>
      <c r="C15" s="2289" t="s">
        <v>66</v>
      </c>
      <c r="D15" s="2289" t="s">
        <v>66</v>
      </c>
      <c r="E15" s="2289" t="s">
        <v>66</v>
      </c>
      <c r="F15" s="2289" t="s">
        <v>66</v>
      </c>
      <c r="G15" s="2289" t="s">
        <v>65</v>
      </c>
      <c r="H15" s="2281"/>
      <c r="I15" s="2267" t="s">
        <v>2980</v>
      </c>
      <c r="J15" s="2275"/>
      <c r="K15" s="2286"/>
      <c r="L15" s="2276">
        <f>SUM(L16:L17)</f>
        <v>0</v>
      </c>
      <c r="M15" s="2286"/>
      <c r="N15" s="2276">
        <f>SUM(N16:N17)</f>
        <v>0</v>
      </c>
      <c r="O15" s="2286"/>
      <c r="P15" s="2276">
        <f>SUM(P16:P17)</f>
        <v>0</v>
      </c>
      <c r="Q15" s="2287"/>
      <c r="R15" s="2286">
        <f>SUM(R16:R17)</f>
        <v>0</v>
      </c>
      <c r="S15" s="2277"/>
      <c r="T15" s="2277"/>
      <c r="U15" s="2277"/>
      <c r="V15" s="2277"/>
      <c r="W15" s="2277"/>
      <c r="X15" s="2277"/>
      <c r="Y15" s="2290">
        <f>Q15+S15+U15+W15</f>
        <v>0</v>
      </c>
      <c r="Z15" s="2302">
        <f>SUM(Z16:Z17)</f>
        <v>0</v>
      </c>
      <c r="AA15" s="2290">
        <f>M15+Y15</f>
        <v>0</v>
      </c>
      <c r="AB15" s="2302">
        <f>SUM(AB16:AB17)</f>
        <v>0</v>
      </c>
      <c r="AC15" s="2279" t="e">
        <f>(AA15/K15)*100</f>
        <v>#DIV/0!</v>
      </c>
      <c r="AD15" s="2279" t="e">
        <f t="shared" ref="AD15:AD17" si="4">(AB15/L15)*100</f>
        <v>#DIV/0!</v>
      </c>
      <c r="AE15" s="2278" t="s">
        <v>175</v>
      </c>
      <c r="AF15" s="2264"/>
      <c r="AG15" s="2264"/>
      <c r="AH15" s="2264"/>
      <c r="AI15" s="2264"/>
      <c r="AJ15" s="2264"/>
      <c r="AK15" s="2264"/>
      <c r="AL15" s="2264"/>
      <c r="AM15" s="2264"/>
      <c r="AN15" s="2264"/>
      <c r="AO15" s="2264"/>
      <c r="AP15" s="2264"/>
      <c r="AQ15" s="2264"/>
      <c r="AR15" s="2264"/>
      <c r="AS15" s="2264"/>
      <c r="AT15" s="2264"/>
      <c r="AU15" s="2264"/>
      <c r="AV15" s="2264"/>
      <c r="AW15" s="2264"/>
      <c r="AX15" s="2264"/>
      <c r="AY15" s="2264"/>
      <c r="AZ15" s="2264"/>
      <c r="BA15" s="2264"/>
      <c r="BB15" s="2264"/>
      <c r="BC15" s="2264"/>
      <c r="BD15" s="2264"/>
      <c r="BE15" s="2264"/>
      <c r="BF15" s="2264"/>
      <c r="BG15" s="2264"/>
      <c r="BH15" s="2264"/>
      <c r="BI15" s="2264"/>
      <c r="BJ15" s="2264"/>
      <c r="BK15" s="2264"/>
      <c r="BL15" s="2264"/>
      <c r="BM15" s="2264"/>
      <c r="BN15" s="2264"/>
      <c r="BO15" s="2264"/>
      <c r="BP15" s="2264"/>
      <c r="BQ15" s="2264"/>
      <c r="BR15" s="2264"/>
      <c r="BS15" s="2264"/>
      <c r="BT15" s="2264"/>
      <c r="BU15" s="2264"/>
      <c r="BV15" s="2264"/>
      <c r="BW15" s="2264"/>
      <c r="BX15" s="2264"/>
    </row>
    <row r="16" spans="1:76" s="159" customFormat="1" ht="62.25" customHeight="1">
      <c r="A16" s="248"/>
      <c r="B16" s="233"/>
      <c r="C16" s="238" t="s">
        <v>66</v>
      </c>
      <c r="D16" s="238" t="s">
        <v>66</v>
      </c>
      <c r="E16" s="238" t="s">
        <v>66</v>
      </c>
      <c r="F16" s="238" t="s">
        <v>66</v>
      </c>
      <c r="G16" s="238" t="s">
        <v>65</v>
      </c>
      <c r="H16" s="238">
        <v>22</v>
      </c>
      <c r="I16" s="246" t="s">
        <v>2982</v>
      </c>
      <c r="J16" s="233"/>
      <c r="K16" s="2284"/>
      <c r="L16" s="237"/>
      <c r="M16" s="2284"/>
      <c r="N16" s="2271"/>
      <c r="O16" s="2284"/>
      <c r="P16" s="2271"/>
      <c r="Q16" s="2288"/>
      <c r="R16" s="237"/>
      <c r="S16" s="2272"/>
      <c r="T16" s="2273"/>
      <c r="U16" s="2273"/>
      <c r="V16" s="2273"/>
      <c r="W16" s="2273"/>
      <c r="X16" s="2272"/>
      <c r="Y16" s="338">
        <v>0</v>
      </c>
      <c r="Z16" s="2303">
        <f>R16+T16+V16+X16</f>
        <v>0</v>
      </c>
      <c r="AA16" s="338">
        <f>M16+Y16</f>
        <v>0</v>
      </c>
      <c r="AB16" s="2303">
        <f>N16+Z16</f>
        <v>0</v>
      </c>
      <c r="AC16" s="2270" t="e">
        <f>(AA16/K16)*100</f>
        <v>#DIV/0!</v>
      </c>
      <c r="AD16" s="2270" t="e">
        <f t="shared" si="4"/>
        <v>#DIV/0!</v>
      </c>
      <c r="AE16" s="245"/>
      <c r="AF16" s="2264"/>
      <c r="AG16" s="2264"/>
      <c r="AH16" s="2264"/>
      <c r="AI16" s="2264"/>
      <c r="AJ16" s="2264"/>
      <c r="AK16" s="2264"/>
      <c r="AL16" s="2264"/>
      <c r="AM16" s="2264"/>
      <c r="AN16" s="2264"/>
      <c r="AO16" s="2264"/>
      <c r="AP16" s="2264"/>
      <c r="AQ16" s="2264"/>
      <c r="AR16" s="2264"/>
      <c r="AS16" s="2264"/>
      <c r="AT16" s="2264"/>
      <c r="AU16" s="2264"/>
      <c r="AV16" s="2264"/>
      <c r="AW16" s="2264"/>
      <c r="AX16" s="2264"/>
      <c r="AY16" s="2264"/>
      <c r="AZ16" s="2264"/>
      <c r="BA16" s="2264"/>
      <c r="BB16" s="2264"/>
      <c r="BC16" s="2264"/>
      <c r="BD16" s="2264"/>
      <c r="BE16" s="2264"/>
      <c r="BF16" s="2264"/>
      <c r="BG16" s="2264"/>
      <c r="BH16" s="2264"/>
      <c r="BI16" s="2264"/>
      <c r="BJ16" s="2264"/>
      <c r="BK16" s="2264"/>
      <c r="BL16" s="2264"/>
      <c r="BM16" s="2264"/>
      <c r="BN16" s="2264"/>
      <c r="BO16" s="2264"/>
      <c r="BP16" s="2264"/>
      <c r="BQ16" s="2264"/>
      <c r="BR16" s="2264"/>
      <c r="BS16" s="2264"/>
      <c r="BT16" s="2264"/>
      <c r="BU16" s="2264"/>
      <c r="BV16" s="2264"/>
      <c r="BW16" s="2264"/>
      <c r="BX16" s="2264"/>
    </row>
    <row r="17" spans="1:76" s="159" customFormat="1" ht="62.25" customHeight="1">
      <c r="A17" s="248"/>
      <c r="B17" s="233"/>
      <c r="C17" s="238" t="s">
        <v>66</v>
      </c>
      <c r="D17" s="238" t="s">
        <v>66</v>
      </c>
      <c r="E17" s="238" t="s">
        <v>66</v>
      </c>
      <c r="F17" s="238" t="s">
        <v>66</v>
      </c>
      <c r="G17" s="238" t="s">
        <v>65</v>
      </c>
      <c r="H17" s="238">
        <v>24</v>
      </c>
      <c r="I17" s="246" t="s">
        <v>2982</v>
      </c>
      <c r="J17" s="233"/>
      <c r="K17" s="2284"/>
      <c r="L17" s="237"/>
      <c r="M17" s="2284"/>
      <c r="N17" s="2271"/>
      <c r="O17" s="2284"/>
      <c r="P17" s="2271"/>
      <c r="Q17" s="2285"/>
      <c r="R17" s="237"/>
      <c r="S17" s="2272"/>
      <c r="T17" s="2272"/>
      <c r="U17" s="2272"/>
      <c r="V17" s="2272"/>
      <c r="W17" s="2272"/>
      <c r="X17" s="2272"/>
      <c r="Y17" s="338">
        <v>1</v>
      </c>
      <c r="Z17" s="2303">
        <f t="shared" ref="Z17" si="5">R17+T17+V17+X17</f>
        <v>0</v>
      </c>
      <c r="AA17" s="338">
        <f t="shared" ref="AA17:AB17" si="6">M17+Y17</f>
        <v>1</v>
      </c>
      <c r="AB17" s="2303">
        <f t="shared" si="6"/>
        <v>0</v>
      </c>
      <c r="AC17" s="2270" t="e">
        <f t="shared" ref="AC17" si="7">(AA17/K17)*100</f>
        <v>#DIV/0!</v>
      </c>
      <c r="AD17" s="2270" t="e">
        <f t="shared" si="4"/>
        <v>#DIV/0!</v>
      </c>
      <c r="AE17" s="245"/>
      <c r="AF17" s="2264"/>
      <c r="AG17" s="2264"/>
      <c r="AH17" s="2264"/>
      <c r="AI17" s="2264"/>
      <c r="AJ17" s="2264"/>
      <c r="AK17" s="2264"/>
      <c r="AL17" s="2264"/>
      <c r="AM17" s="2264"/>
      <c r="AN17" s="2264"/>
      <c r="AO17" s="2264"/>
      <c r="AP17" s="2264"/>
      <c r="AQ17" s="2264"/>
      <c r="AR17" s="2264"/>
      <c r="AS17" s="2264"/>
      <c r="AT17" s="2264"/>
      <c r="AU17" s="2264"/>
      <c r="AV17" s="2264"/>
      <c r="AW17" s="2264"/>
      <c r="AX17" s="2264"/>
      <c r="AY17" s="2264"/>
      <c r="AZ17" s="2264"/>
      <c r="BA17" s="2264"/>
      <c r="BB17" s="2264"/>
      <c r="BC17" s="2264"/>
      <c r="BD17" s="2264"/>
      <c r="BE17" s="2264"/>
      <c r="BF17" s="2264"/>
      <c r="BG17" s="2264"/>
      <c r="BH17" s="2264"/>
      <c r="BI17" s="2264"/>
      <c r="BJ17" s="2264"/>
      <c r="BK17" s="2264"/>
      <c r="BL17" s="2264"/>
      <c r="BM17" s="2264"/>
      <c r="BN17" s="2264"/>
      <c r="BO17" s="2264"/>
      <c r="BP17" s="2264"/>
      <c r="BQ17" s="2264"/>
      <c r="BR17" s="2264"/>
      <c r="BS17" s="2264"/>
      <c r="BT17" s="2264"/>
      <c r="BU17" s="2264"/>
      <c r="BV17" s="2264"/>
      <c r="BW17" s="2264"/>
      <c r="BX17" s="2264"/>
    </row>
    <row r="18" spans="1:76" s="244" customFormat="1" ht="19.5" customHeight="1">
      <c r="A18" s="2373" t="s">
        <v>2983</v>
      </c>
      <c r="B18" s="2373"/>
      <c r="C18" s="2373"/>
      <c r="D18" s="2373"/>
      <c r="E18" s="2373"/>
      <c r="F18" s="2373"/>
      <c r="G18" s="2373"/>
      <c r="H18" s="2373"/>
      <c r="I18" s="2373"/>
      <c r="J18" s="2373"/>
      <c r="K18" s="2373"/>
      <c r="L18" s="2373"/>
      <c r="M18" s="2373"/>
      <c r="N18" s="2373"/>
      <c r="O18" s="2373"/>
      <c r="P18" s="2373"/>
      <c r="Q18" s="2373"/>
      <c r="R18" s="2373"/>
      <c r="S18" s="2373"/>
      <c r="T18" s="2373"/>
      <c r="U18" s="2373"/>
      <c r="V18" s="2373"/>
      <c r="W18" s="2373"/>
      <c r="X18" s="2373"/>
      <c r="Y18" s="2373"/>
      <c r="Z18" s="2373"/>
      <c r="AA18" s="2373"/>
      <c r="AB18" s="2373"/>
      <c r="AC18" s="222" t="e">
        <f>(AC12+AC15)/2</f>
        <v>#DIV/0!</v>
      </c>
      <c r="AD18" s="222" t="e">
        <f>(AD12+AD15)/2</f>
        <v>#DIV/0!</v>
      </c>
      <c r="AE18" s="2306"/>
      <c r="AF18" s="2263"/>
      <c r="AG18" s="2263"/>
      <c r="AH18" s="2263"/>
      <c r="AI18" s="2263"/>
      <c r="AJ18" s="2263"/>
      <c r="AK18" s="2263"/>
      <c r="AL18" s="2263"/>
      <c r="AM18" s="2263"/>
      <c r="AN18" s="2263"/>
      <c r="AO18" s="2263"/>
      <c r="AP18" s="2263"/>
      <c r="AQ18" s="2263"/>
      <c r="AR18" s="2263"/>
      <c r="AS18" s="2263"/>
      <c r="AT18" s="2263"/>
      <c r="AU18" s="2263"/>
      <c r="AV18" s="2263"/>
      <c r="AW18" s="2263"/>
      <c r="AX18" s="2263"/>
      <c r="AY18" s="2263"/>
      <c r="AZ18" s="2263"/>
      <c r="BA18" s="2263"/>
      <c r="BB18" s="2263"/>
      <c r="BC18" s="2263"/>
      <c r="BD18" s="2263"/>
      <c r="BE18" s="2263"/>
      <c r="BF18" s="2263"/>
      <c r="BG18" s="2263"/>
      <c r="BH18" s="2263"/>
      <c r="BI18" s="2263"/>
      <c r="BJ18" s="2263"/>
      <c r="BK18" s="2263"/>
      <c r="BL18" s="2263"/>
      <c r="BM18" s="2263"/>
      <c r="BN18" s="2263"/>
      <c r="BO18" s="2263"/>
      <c r="BP18" s="2263"/>
      <c r="BQ18" s="2263"/>
      <c r="BR18" s="2263"/>
      <c r="BS18" s="2263"/>
      <c r="BT18" s="2263"/>
      <c r="BU18" s="2263"/>
      <c r="BV18" s="2263"/>
      <c r="BW18" s="2263"/>
      <c r="BX18" s="2263"/>
    </row>
    <row r="19" spans="1:76" s="244" customFormat="1" ht="17.25" customHeight="1">
      <c r="A19" s="2373" t="s">
        <v>2984</v>
      </c>
      <c r="B19" s="2373"/>
      <c r="C19" s="2373"/>
      <c r="D19" s="2373"/>
      <c r="E19" s="2373"/>
      <c r="F19" s="2373"/>
      <c r="G19" s="2373"/>
      <c r="H19" s="2373"/>
      <c r="I19" s="2373"/>
      <c r="J19" s="2373"/>
      <c r="K19" s="2373"/>
      <c r="L19" s="2373"/>
      <c r="M19" s="2373"/>
      <c r="N19" s="2373"/>
      <c r="O19" s="2373"/>
      <c r="P19" s="2373"/>
      <c r="Q19" s="2373"/>
      <c r="R19" s="2373"/>
      <c r="S19" s="2373"/>
      <c r="T19" s="2373"/>
      <c r="U19" s="2373"/>
      <c r="V19" s="2373"/>
      <c r="W19" s="2373"/>
      <c r="X19" s="2373"/>
      <c r="Y19" s="2373"/>
      <c r="Z19" s="2373"/>
      <c r="AA19" s="2373"/>
      <c r="AB19" s="2373"/>
      <c r="AC19" s="2291" t="e">
        <f>IF(AC18&gt;=91,"ST",IF(AC18&gt;=76,"T",IF(AC18&gt;=66,"S",IF(AC18&gt;=51,"R","SR"))))</f>
        <v>#DIV/0!</v>
      </c>
      <c r="AD19" s="2315" t="e">
        <f>IF(AD18&gt;=91,"ST",IF(AD18&gt;=76,"T",IF(AD18&gt;=66,"S",IF(AD18&gt;=51,"R","SR"))))</f>
        <v>#DIV/0!</v>
      </c>
      <c r="AE19" s="2306"/>
      <c r="AF19" s="2263"/>
      <c r="AG19" s="2263"/>
      <c r="AH19" s="2263"/>
      <c r="AI19" s="2263"/>
      <c r="AJ19" s="2263"/>
      <c r="AK19" s="2263"/>
      <c r="AL19" s="2263"/>
      <c r="AM19" s="2263"/>
      <c r="AN19" s="2263"/>
      <c r="AO19" s="2263"/>
      <c r="AP19" s="2263"/>
      <c r="AQ19" s="2263"/>
      <c r="AR19" s="2263"/>
      <c r="AS19" s="2263"/>
      <c r="AT19" s="2263"/>
      <c r="AU19" s="2263"/>
      <c r="AV19" s="2263"/>
      <c r="AW19" s="2263"/>
      <c r="AX19" s="2263"/>
      <c r="AY19" s="2263"/>
      <c r="AZ19" s="2263"/>
      <c r="BA19" s="2263"/>
      <c r="BB19" s="2263"/>
      <c r="BC19" s="2263"/>
      <c r="BD19" s="2263"/>
      <c r="BE19" s="2263"/>
      <c r="BF19" s="2263"/>
      <c r="BG19" s="2263"/>
      <c r="BH19" s="2263"/>
      <c r="BI19" s="2263"/>
      <c r="BJ19" s="2263"/>
      <c r="BK19" s="2263"/>
      <c r="BL19" s="2263"/>
      <c r="BM19" s="2263"/>
      <c r="BN19" s="2263"/>
      <c r="BO19" s="2263"/>
      <c r="BP19" s="2263"/>
      <c r="BQ19" s="2263"/>
      <c r="BR19" s="2263"/>
      <c r="BS19" s="2263"/>
      <c r="BT19" s="2263"/>
      <c r="BU19" s="2263"/>
      <c r="BV19" s="2263"/>
      <c r="BW19" s="2263"/>
      <c r="BX19" s="2263"/>
    </row>
    <row r="20" spans="1:76" s="244" customFormat="1" ht="14.25" customHeight="1">
      <c r="A20" s="2325"/>
      <c r="B20" s="2326"/>
      <c r="C20" s="2326"/>
      <c r="D20" s="2326"/>
      <c r="E20" s="2326"/>
      <c r="F20" s="2326"/>
      <c r="G20" s="2326"/>
      <c r="H20" s="2326"/>
      <c r="I20" s="2326"/>
      <c r="J20" s="2326"/>
      <c r="K20" s="2326"/>
      <c r="L20" s="2326"/>
      <c r="M20" s="2326"/>
      <c r="N20" s="2326"/>
      <c r="O20" s="2326"/>
      <c r="P20" s="2326"/>
      <c r="Q20" s="2326"/>
      <c r="R20" s="2326"/>
      <c r="S20" s="2326"/>
      <c r="T20" s="2326"/>
      <c r="U20" s="2326"/>
      <c r="V20" s="2326"/>
      <c r="W20" s="2326"/>
      <c r="X20" s="2326"/>
      <c r="Y20" s="2326"/>
      <c r="Z20" s="2326"/>
      <c r="AA20" s="2326"/>
      <c r="AB20" s="2326"/>
      <c r="AC20" s="2326"/>
      <c r="AD20" s="2326"/>
      <c r="AE20" s="2327"/>
      <c r="AF20" s="2263"/>
      <c r="AG20" s="2263"/>
      <c r="AH20" s="2263"/>
      <c r="AI20" s="2263"/>
      <c r="AJ20" s="2263"/>
      <c r="AK20" s="2263"/>
      <c r="AL20" s="2263"/>
      <c r="AM20" s="2263"/>
      <c r="AN20" s="2263"/>
      <c r="AO20" s="2263"/>
      <c r="AP20" s="2263"/>
      <c r="AQ20" s="2263"/>
      <c r="AR20" s="2263"/>
      <c r="AS20" s="2263"/>
      <c r="AT20" s="2263"/>
      <c r="AU20" s="2263"/>
      <c r="AV20" s="2263"/>
      <c r="AW20" s="2263"/>
      <c r="AX20" s="2263"/>
      <c r="AY20" s="2263"/>
      <c r="AZ20" s="2263"/>
      <c r="BA20" s="2263"/>
      <c r="BB20" s="2263"/>
      <c r="BC20" s="2263"/>
      <c r="BD20" s="2263"/>
      <c r="BE20" s="2263"/>
      <c r="BF20" s="2263"/>
      <c r="BG20" s="2263"/>
      <c r="BH20" s="2263"/>
      <c r="BI20" s="2263"/>
      <c r="BJ20" s="2263"/>
      <c r="BK20" s="2263"/>
      <c r="BL20" s="2263"/>
      <c r="BM20" s="2263"/>
      <c r="BN20" s="2263"/>
      <c r="BO20" s="2263"/>
      <c r="BP20" s="2263"/>
      <c r="BQ20" s="2263"/>
      <c r="BR20" s="2263"/>
      <c r="BS20" s="2263"/>
      <c r="BT20" s="2263"/>
      <c r="BU20" s="2263"/>
      <c r="BV20" s="2263"/>
      <c r="BW20" s="2263"/>
      <c r="BX20" s="2263"/>
    </row>
    <row r="21" spans="1:76" ht="16.5">
      <c r="A21" s="2328" t="s">
        <v>2971</v>
      </c>
      <c r="B21" s="2329"/>
      <c r="C21" s="2329"/>
      <c r="D21" s="2329"/>
      <c r="E21" s="2329"/>
      <c r="F21" s="2329"/>
      <c r="G21" s="2329"/>
      <c r="H21" s="2329"/>
      <c r="I21" s="2330"/>
      <c r="J21" s="2307" t="s">
        <v>2985</v>
      </c>
      <c r="K21" s="2305"/>
      <c r="L21" s="2305"/>
      <c r="M21" s="2305"/>
      <c r="N21" s="2305"/>
      <c r="O21" s="2305"/>
      <c r="P21" s="2305"/>
      <c r="Q21" s="2305"/>
      <c r="R21" s="2308"/>
      <c r="S21" s="2308"/>
      <c r="T21" s="2308"/>
      <c r="U21" s="2308"/>
      <c r="V21" s="2308"/>
      <c r="W21" s="2308"/>
      <c r="X21" s="2308"/>
      <c r="Y21" s="2305"/>
      <c r="Z21" s="2309"/>
      <c r="AA21" s="2305"/>
      <c r="AB21" s="2309"/>
      <c r="AC21" s="2305"/>
      <c r="AD21" s="2305"/>
      <c r="AE21" s="2304"/>
    </row>
    <row r="22" spans="1:76" ht="16.5">
      <c r="A22" s="2331" t="s">
        <v>1517</v>
      </c>
      <c r="B22" s="2332"/>
      <c r="C22" s="2332"/>
      <c r="D22" s="2332"/>
      <c r="E22" s="2332"/>
      <c r="F22" s="2332"/>
      <c r="G22" s="2332"/>
      <c r="H22" s="2332"/>
      <c r="I22" s="2333"/>
      <c r="J22" s="2307" t="s">
        <v>2985</v>
      </c>
      <c r="K22" s="2305"/>
      <c r="L22" s="2305"/>
      <c r="M22" s="2305"/>
      <c r="N22" s="2305"/>
      <c r="O22" s="2305"/>
      <c r="P22" s="2305"/>
      <c r="Q22" s="2305"/>
      <c r="R22" s="2308"/>
      <c r="S22" s="2308"/>
      <c r="T22" s="2308"/>
      <c r="U22" s="2308"/>
      <c r="V22" s="2308"/>
      <c r="W22" s="2308"/>
      <c r="X22" s="2308"/>
      <c r="Y22" s="2305"/>
      <c r="Z22" s="2309"/>
      <c r="AA22" s="2305"/>
      <c r="AB22" s="2309"/>
      <c r="AC22" s="2305" t="s">
        <v>2970</v>
      </c>
      <c r="AD22" s="2305"/>
      <c r="AE22" s="2304"/>
    </row>
    <row r="23" spans="1:76" ht="16.5">
      <c r="A23" s="2331" t="s">
        <v>1518</v>
      </c>
      <c r="B23" s="2332"/>
      <c r="C23" s="2332"/>
      <c r="D23" s="2332"/>
      <c r="E23" s="2332"/>
      <c r="F23" s="2332"/>
      <c r="G23" s="2332"/>
      <c r="H23" s="2332"/>
      <c r="I23" s="2333"/>
      <c r="J23" s="2307" t="s">
        <v>2985</v>
      </c>
      <c r="K23" s="2305"/>
      <c r="L23" s="2305"/>
      <c r="M23" s="2305"/>
      <c r="N23" s="2305"/>
      <c r="O23" s="2305"/>
      <c r="P23" s="2305"/>
      <c r="Q23" s="2305"/>
      <c r="R23" s="2308"/>
      <c r="S23" s="2308"/>
      <c r="T23" s="2308"/>
      <c r="U23" s="2308"/>
      <c r="V23" s="2308"/>
      <c r="W23" s="2308"/>
      <c r="X23" s="2308"/>
      <c r="Y23" s="2305"/>
      <c r="Z23" s="2309"/>
      <c r="AA23" s="2305"/>
      <c r="AB23" s="2309"/>
      <c r="AC23" s="2305"/>
      <c r="AD23" s="2305"/>
      <c r="AE23" s="2304"/>
    </row>
    <row r="24" spans="1:76" ht="16.5">
      <c r="A24" s="2334" t="s">
        <v>2972</v>
      </c>
      <c r="B24" s="2335"/>
      <c r="C24" s="2335"/>
      <c r="D24" s="2335"/>
      <c r="E24" s="2335"/>
      <c r="F24" s="2335"/>
      <c r="G24" s="2335"/>
      <c r="H24" s="2335"/>
      <c r="I24" s="2336"/>
      <c r="J24" s="2307" t="s">
        <v>2985</v>
      </c>
      <c r="K24" s="2305"/>
      <c r="L24" s="2305"/>
      <c r="M24" s="2305"/>
      <c r="N24" s="2305"/>
      <c r="O24" s="2305"/>
      <c r="P24" s="2305"/>
      <c r="Q24" s="2305"/>
      <c r="R24" s="2308"/>
      <c r="S24" s="2308"/>
      <c r="T24" s="2308"/>
      <c r="U24" s="2308"/>
      <c r="V24" s="2308"/>
      <c r="W24" s="2308"/>
      <c r="X24" s="2308"/>
      <c r="Y24" s="2305"/>
      <c r="Z24" s="2309"/>
      <c r="AA24" s="2305"/>
      <c r="AB24" s="2309"/>
      <c r="AC24" s="2305"/>
      <c r="AD24" s="2305"/>
      <c r="AE24" s="2304"/>
    </row>
    <row r="27" spans="1:76" ht="15.75">
      <c r="S27" s="2346" t="s">
        <v>2986</v>
      </c>
      <c r="T27" s="2346"/>
      <c r="U27" s="2346"/>
      <c r="V27" s="2346"/>
      <c r="W27" s="2346"/>
      <c r="X27" s="2346"/>
      <c r="Y27" s="2346"/>
      <c r="Z27" s="2310"/>
      <c r="AA27" s="2311"/>
      <c r="AB27" s="2337" t="s">
        <v>2987</v>
      </c>
      <c r="AC27" s="2337"/>
      <c r="AD27" s="2337"/>
      <c r="AE27" s="2337"/>
    </row>
    <row r="28" spans="1:76" ht="15.75">
      <c r="S28" s="2346" t="s">
        <v>56</v>
      </c>
      <c r="T28" s="2346"/>
      <c r="U28" s="2346"/>
      <c r="V28" s="2346"/>
      <c r="W28" s="2346"/>
      <c r="X28" s="2346"/>
      <c r="Y28" s="2346"/>
      <c r="Z28" s="2310"/>
      <c r="AA28" s="2311"/>
      <c r="AB28" s="2337" t="s">
        <v>38</v>
      </c>
      <c r="AC28" s="2337"/>
      <c r="AD28" s="2337"/>
      <c r="AE28" s="2337"/>
    </row>
    <row r="29" spans="1:76" ht="15.75">
      <c r="S29" s="2347" t="s">
        <v>2988</v>
      </c>
      <c r="T29" s="2347"/>
      <c r="U29" s="2347"/>
      <c r="V29" s="2347"/>
      <c r="W29" s="2347"/>
      <c r="X29" s="2347"/>
      <c r="Y29" s="2347"/>
      <c r="Z29" s="2310"/>
      <c r="AA29" s="2311"/>
      <c r="AB29" s="2338" t="s">
        <v>103</v>
      </c>
      <c r="AC29" s="2338"/>
      <c r="AD29" s="2338"/>
      <c r="AE29" s="2338"/>
    </row>
    <row r="30" spans="1:76" ht="15.75">
      <c r="S30" s="2346"/>
      <c r="T30" s="2346"/>
      <c r="U30" s="2346"/>
      <c r="V30" s="2346"/>
      <c r="W30" s="2346"/>
      <c r="X30" s="2346"/>
      <c r="Y30" s="2346"/>
      <c r="Z30" s="2310"/>
      <c r="AA30" s="2311"/>
      <c r="AB30" s="2337"/>
      <c r="AC30" s="2337"/>
      <c r="AD30" s="2337"/>
      <c r="AE30" s="2337"/>
    </row>
    <row r="31" spans="1:76" ht="15.75">
      <c r="S31" s="2314"/>
      <c r="T31" s="2314"/>
      <c r="U31" s="2314"/>
      <c r="V31" s="2314"/>
      <c r="W31" s="2314"/>
      <c r="X31" s="2314"/>
      <c r="Y31" s="2314"/>
      <c r="Z31" s="2310"/>
      <c r="AA31" s="2311"/>
      <c r="AB31" s="2313"/>
      <c r="AC31" s="2313"/>
      <c r="AD31" s="2313"/>
      <c r="AE31" s="2313"/>
    </row>
    <row r="32" spans="1:76" ht="15.75">
      <c r="S32" s="2346"/>
      <c r="T32" s="2346"/>
      <c r="U32" s="2346"/>
      <c r="V32" s="2346"/>
      <c r="W32" s="2346"/>
      <c r="X32" s="2346"/>
      <c r="Y32" s="2346"/>
      <c r="Z32" s="2310"/>
      <c r="AA32" s="2311"/>
      <c r="AB32" s="2337"/>
      <c r="AC32" s="2337"/>
      <c r="AD32" s="2337"/>
      <c r="AE32" s="2337"/>
    </row>
    <row r="33" spans="19:31" ht="15.75">
      <c r="S33" s="2346"/>
      <c r="T33" s="2346"/>
      <c r="U33" s="2346"/>
      <c r="V33" s="2346"/>
      <c r="W33" s="2346"/>
      <c r="X33" s="2346"/>
      <c r="Y33" s="2346"/>
      <c r="Z33" s="2310"/>
      <c r="AA33" s="2311"/>
      <c r="AB33" s="2337"/>
      <c r="AC33" s="2337"/>
      <c r="AD33" s="2337"/>
      <c r="AE33" s="2337"/>
    </row>
    <row r="34" spans="19:31" ht="15.75">
      <c r="S34" s="2391" t="s">
        <v>2990</v>
      </c>
      <c r="T34" s="2391"/>
      <c r="U34" s="2391"/>
      <c r="V34" s="2391"/>
      <c r="W34" s="2391"/>
      <c r="X34" s="2391"/>
      <c r="Y34" s="2391"/>
      <c r="Z34" s="2310"/>
      <c r="AA34" s="2311"/>
      <c r="AB34" s="2338" t="s">
        <v>2973</v>
      </c>
      <c r="AC34" s="2338"/>
      <c r="AD34" s="2338"/>
      <c r="AE34" s="2338"/>
    </row>
    <row r="35" spans="19:31" ht="15.75">
      <c r="S35" s="2346" t="s">
        <v>2989</v>
      </c>
      <c r="T35" s="2346"/>
      <c r="U35" s="2346"/>
      <c r="V35" s="2346"/>
      <c r="W35" s="2346"/>
      <c r="X35" s="2346"/>
      <c r="Y35" s="2346"/>
      <c r="Z35" s="2310"/>
      <c r="AA35" s="2311"/>
      <c r="AB35" s="2337" t="s">
        <v>2974</v>
      </c>
      <c r="AC35" s="2337"/>
      <c r="AD35" s="2337"/>
      <c r="AE35" s="2337"/>
    </row>
  </sheetData>
  <mergeCells count="59">
    <mergeCell ref="AB35:AE35"/>
    <mergeCell ref="S34:Y34"/>
    <mergeCell ref="S35:Y35"/>
    <mergeCell ref="S32:Y32"/>
    <mergeCell ref="S33:Y33"/>
    <mergeCell ref="A18:AB18"/>
    <mergeCell ref="A19:AB19"/>
    <mergeCell ref="Y7:Z7"/>
    <mergeCell ref="M7:N7"/>
    <mergeCell ref="O7:P7"/>
    <mergeCell ref="Q7:R7"/>
    <mergeCell ref="J7:J8"/>
    <mergeCell ref="K7:L7"/>
    <mergeCell ref="AA7:AB7"/>
    <mergeCell ref="AC7:AD7"/>
    <mergeCell ref="S7:T7"/>
    <mergeCell ref="U7:V7"/>
    <mergeCell ref="W7:X7"/>
    <mergeCell ref="A7:A8"/>
    <mergeCell ref="C7:H8"/>
    <mergeCell ref="I7:I8"/>
    <mergeCell ref="AE7:AE8"/>
    <mergeCell ref="B7:B8"/>
    <mergeCell ref="A20:AE20"/>
    <mergeCell ref="A1:AE1"/>
    <mergeCell ref="A2:AE2"/>
    <mergeCell ref="A3:AE3"/>
    <mergeCell ref="Q5:X5"/>
    <mergeCell ref="Y5:Z6"/>
    <mergeCell ref="C5:H6"/>
    <mergeCell ref="AE5:AE6"/>
    <mergeCell ref="B5:B6"/>
    <mergeCell ref="A5:A6"/>
    <mergeCell ref="I5:I6"/>
    <mergeCell ref="J5:J6"/>
    <mergeCell ref="K5:L6"/>
    <mergeCell ref="M5:N6"/>
    <mergeCell ref="O5:P6"/>
    <mergeCell ref="AA5:AB6"/>
    <mergeCell ref="AC5:AD6"/>
    <mergeCell ref="S6:T6"/>
    <mergeCell ref="U6:V6"/>
    <mergeCell ref="W6:X6"/>
    <mergeCell ref="Q6:R6"/>
    <mergeCell ref="AB32:AE32"/>
    <mergeCell ref="AB33:AE33"/>
    <mergeCell ref="AB34:AE34"/>
    <mergeCell ref="AB30:AE30"/>
    <mergeCell ref="S27:Y27"/>
    <mergeCell ref="S28:Y28"/>
    <mergeCell ref="S29:Y29"/>
    <mergeCell ref="S30:Y30"/>
    <mergeCell ref="A21:I21"/>
    <mergeCell ref="A22:I22"/>
    <mergeCell ref="A23:I23"/>
    <mergeCell ref="A24:I24"/>
    <mergeCell ref="AB27:AE27"/>
    <mergeCell ref="AB28:AE28"/>
    <mergeCell ref="AB29:AE29"/>
  </mergeCells>
  <printOptions horizontalCentered="1"/>
  <pageMargins left="0.22" right="0.15748031496063" top="0.61" bottom="0.36" header="0.31496062992126" footer="0.14000000000000001"/>
  <pageSetup paperSize="258" scale="52" fitToHeight="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BN1837"/>
  <sheetViews>
    <sheetView topLeftCell="G10" zoomScale="80" zoomScaleNormal="80" workbookViewId="0">
      <pane ySplit="4" topLeftCell="A1046" activePane="bottomLeft" state="frozen"/>
      <selection activeCell="H10" sqref="H10"/>
      <selection pane="bottomLeft" activeCell="H1124" sqref="H1124"/>
    </sheetView>
  </sheetViews>
  <sheetFormatPr defaultRowHeight="12.75"/>
  <cols>
    <col min="1" max="1" width="5" style="54" customWidth="1"/>
    <col min="2" max="2" width="14.85546875" style="54" customWidth="1"/>
    <col min="3" max="5" width="3.28515625" style="54" customWidth="1"/>
    <col min="6" max="6" width="4" style="54" customWidth="1"/>
    <col min="7" max="7" width="3.42578125" style="54" customWidth="1"/>
    <col min="8" max="8" width="3.7109375" style="54" customWidth="1"/>
    <col min="9" max="9" width="23" style="54" customWidth="1"/>
    <col min="10" max="10" width="15.5703125" style="54" customWidth="1"/>
    <col min="11" max="11" width="8.7109375" style="54" customWidth="1"/>
    <col min="12" max="12" width="17.5703125" style="54" customWidth="1"/>
    <col min="13" max="13" width="9" style="54" customWidth="1"/>
    <col min="14" max="14" width="15.85546875" style="54" customWidth="1"/>
    <col min="15" max="15" width="9.28515625" style="54" customWidth="1"/>
    <col min="16" max="16" width="15.7109375" style="54" customWidth="1"/>
    <col min="17" max="17" width="8" style="54" customWidth="1"/>
    <col min="18" max="18" width="14.42578125" style="54" customWidth="1"/>
    <col min="19" max="19" width="5.28515625" style="54" customWidth="1"/>
    <col min="20" max="20" width="9.42578125" style="54" customWidth="1"/>
    <col min="21" max="21" width="5.28515625" style="54" customWidth="1"/>
    <col min="22" max="22" width="7.7109375" style="54" customWidth="1"/>
    <col min="23" max="23" width="5.28515625" style="54" customWidth="1"/>
    <col min="24" max="24" width="7.7109375" style="54" customWidth="1"/>
    <col min="25" max="25" width="8.85546875" style="149" customWidth="1"/>
    <col min="26" max="26" width="17.5703125" style="54" customWidth="1"/>
    <col min="27" max="27" width="10.140625" style="54" customWidth="1"/>
    <col min="28" max="28" width="15.85546875" style="54" customWidth="1"/>
    <col min="29" max="29" width="8.5703125" style="54" customWidth="1"/>
    <col min="30" max="30" width="9.42578125" style="54" customWidth="1"/>
    <col min="31" max="31" width="14.85546875" style="54" customWidth="1"/>
    <col min="32" max="16384" width="9.140625" style="54"/>
  </cols>
  <sheetData>
    <row r="1" spans="1:31">
      <c r="A1" s="2393" t="s">
        <v>111</v>
      </c>
      <c r="B1" s="2393"/>
      <c r="C1" s="2393"/>
      <c r="D1" s="2393"/>
      <c r="E1" s="2393"/>
      <c r="F1" s="2393"/>
      <c r="G1" s="2393"/>
      <c r="H1" s="2393"/>
      <c r="I1" s="2393"/>
      <c r="J1" s="2393"/>
      <c r="K1" s="2393"/>
      <c r="L1" s="2393"/>
      <c r="M1" s="2393"/>
      <c r="N1" s="2393"/>
      <c r="O1" s="2393"/>
      <c r="P1" s="2393"/>
      <c r="Q1" s="2393"/>
      <c r="R1" s="2393"/>
      <c r="S1" s="2393"/>
      <c r="T1" s="2393"/>
      <c r="U1" s="2393"/>
      <c r="V1" s="2393"/>
      <c r="W1" s="2393"/>
      <c r="X1" s="2393"/>
      <c r="Y1" s="2393"/>
      <c r="Z1" s="2393"/>
      <c r="AA1" s="2393"/>
      <c r="AB1" s="2393"/>
      <c r="AC1" s="2393"/>
      <c r="AD1" s="2393"/>
      <c r="AE1" s="2393"/>
    </row>
    <row r="2" spans="1:31">
      <c r="A2" s="2393" t="s">
        <v>104</v>
      </c>
      <c r="B2" s="2393"/>
      <c r="C2" s="2393"/>
      <c r="D2" s="2393"/>
      <c r="E2" s="2393"/>
      <c r="F2" s="2393"/>
      <c r="G2" s="2393"/>
      <c r="H2" s="2393"/>
      <c r="I2" s="2393"/>
      <c r="J2" s="2393"/>
      <c r="K2" s="2393"/>
      <c r="L2" s="2393"/>
      <c r="M2" s="2393"/>
      <c r="N2" s="2393"/>
      <c r="O2" s="2393"/>
      <c r="P2" s="2393"/>
      <c r="Q2" s="2393"/>
      <c r="R2" s="2393"/>
      <c r="S2" s="2393"/>
      <c r="T2" s="2393"/>
      <c r="U2" s="2393"/>
      <c r="V2" s="2393"/>
      <c r="W2" s="2393"/>
      <c r="X2" s="2393"/>
      <c r="Y2" s="2393"/>
      <c r="Z2" s="2393"/>
      <c r="AA2" s="2393"/>
      <c r="AB2" s="2393"/>
      <c r="AC2" s="2393"/>
      <c r="AD2" s="2393"/>
      <c r="AE2" s="2393"/>
    </row>
    <row r="3" spans="1:31">
      <c r="A3" s="2393" t="s">
        <v>112</v>
      </c>
      <c r="B3" s="2393"/>
      <c r="C3" s="2393"/>
      <c r="D3" s="2393"/>
      <c r="E3" s="2393"/>
      <c r="F3" s="2393"/>
      <c r="G3" s="2393"/>
      <c r="H3" s="2393"/>
      <c r="I3" s="2393"/>
      <c r="J3" s="2393"/>
      <c r="K3" s="2393"/>
      <c r="L3" s="2393"/>
      <c r="M3" s="2393"/>
      <c r="N3" s="2393"/>
      <c r="O3" s="2393"/>
      <c r="P3" s="2393"/>
      <c r="Q3" s="2393"/>
      <c r="R3" s="2393"/>
      <c r="S3" s="2393"/>
      <c r="T3" s="2393"/>
      <c r="U3" s="2393"/>
      <c r="V3" s="2393"/>
      <c r="W3" s="2393"/>
      <c r="X3" s="2393"/>
      <c r="Y3" s="2393"/>
      <c r="Z3" s="2393"/>
      <c r="AA3" s="2393"/>
      <c r="AB3" s="2393"/>
      <c r="AC3" s="2393"/>
      <c r="AD3" s="2393"/>
      <c r="AE3" s="2393"/>
    </row>
    <row r="5" spans="1:31">
      <c r="A5" s="55" t="s">
        <v>58</v>
      </c>
      <c r="B5" s="55"/>
      <c r="C5" s="55"/>
      <c r="D5" s="55"/>
      <c r="E5" s="55"/>
      <c r="F5" s="55"/>
      <c r="G5" s="55"/>
      <c r="H5" s="55"/>
      <c r="I5" s="55"/>
      <c r="J5" s="55"/>
      <c r="K5" s="55"/>
      <c r="L5" s="55"/>
      <c r="M5" s="55"/>
      <c r="N5" s="55"/>
      <c r="O5" s="55"/>
    </row>
    <row r="6" spans="1:31">
      <c r="A6" s="54">
        <v>1</v>
      </c>
    </row>
    <row r="7" spans="1:31">
      <c r="A7" s="54">
        <v>2</v>
      </c>
    </row>
    <row r="8" spans="1:31">
      <c r="A8" s="54">
        <v>3</v>
      </c>
    </row>
    <row r="10" spans="1:31" ht="83.25" customHeight="1">
      <c r="A10" s="2361" t="s">
        <v>1</v>
      </c>
      <c r="B10" s="2361" t="s">
        <v>2</v>
      </c>
      <c r="C10" s="2349" t="s">
        <v>60</v>
      </c>
      <c r="D10" s="2350"/>
      <c r="E10" s="2350"/>
      <c r="F10" s="2350"/>
      <c r="G10" s="2350"/>
      <c r="H10" s="2351"/>
      <c r="I10" s="2359" t="s">
        <v>124</v>
      </c>
      <c r="J10" s="2359" t="s">
        <v>118</v>
      </c>
      <c r="K10" s="2352" t="s">
        <v>121</v>
      </c>
      <c r="L10" s="2353"/>
      <c r="M10" s="2352" t="s">
        <v>127</v>
      </c>
      <c r="N10" s="2353"/>
      <c r="O10" s="2352" t="s">
        <v>119</v>
      </c>
      <c r="P10" s="2353"/>
      <c r="Q10" s="2349" t="s">
        <v>120</v>
      </c>
      <c r="R10" s="2350"/>
      <c r="S10" s="2350"/>
      <c r="T10" s="2350"/>
      <c r="U10" s="2350"/>
      <c r="V10" s="2350"/>
      <c r="W10" s="2350"/>
      <c r="X10" s="2351"/>
      <c r="Y10" s="2352" t="s">
        <v>129</v>
      </c>
      <c r="Z10" s="2353"/>
      <c r="AA10" s="2352" t="s">
        <v>128</v>
      </c>
      <c r="AB10" s="2353"/>
      <c r="AC10" s="2352" t="s">
        <v>125</v>
      </c>
      <c r="AD10" s="2353"/>
      <c r="AE10" s="2359" t="s">
        <v>126</v>
      </c>
    </row>
    <row r="11" spans="1:31" ht="13.5" customHeight="1">
      <c r="A11" s="2362"/>
      <c r="B11" s="2362"/>
      <c r="C11" s="2356"/>
      <c r="D11" s="2357"/>
      <c r="E11" s="2357"/>
      <c r="F11" s="2357"/>
      <c r="G11" s="2357"/>
      <c r="H11" s="2358"/>
      <c r="I11" s="2360"/>
      <c r="J11" s="2360"/>
      <c r="K11" s="2354"/>
      <c r="L11" s="2355"/>
      <c r="M11" s="2354"/>
      <c r="N11" s="2355"/>
      <c r="O11" s="2354"/>
      <c r="P11" s="2355"/>
      <c r="Q11" s="2363" t="s">
        <v>30</v>
      </c>
      <c r="R11" s="2364"/>
      <c r="S11" s="2363" t="s">
        <v>31</v>
      </c>
      <c r="T11" s="2364"/>
      <c r="U11" s="2363" t="s">
        <v>122</v>
      </c>
      <c r="V11" s="2364"/>
      <c r="W11" s="2363" t="s">
        <v>123</v>
      </c>
      <c r="X11" s="2364"/>
      <c r="Y11" s="2354"/>
      <c r="Z11" s="2355"/>
      <c r="AA11" s="2354"/>
      <c r="AB11" s="2355"/>
      <c r="AC11" s="2354"/>
      <c r="AD11" s="2355"/>
      <c r="AE11" s="2360"/>
    </row>
    <row r="12" spans="1:31" s="55" customFormat="1" ht="18" customHeight="1">
      <c r="A12" s="2367">
        <v>1</v>
      </c>
      <c r="B12" s="2367">
        <v>2</v>
      </c>
      <c r="C12" s="2365">
        <v>3</v>
      </c>
      <c r="D12" s="2369"/>
      <c r="E12" s="2369"/>
      <c r="F12" s="2369"/>
      <c r="G12" s="2369"/>
      <c r="H12" s="2366"/>
      <c r="I12" s="2367">
        <v>4</v>
      </c>
      <c r="J12" s="2367">
        <v>5</v>
      </c>
      <c r="K12" s="2365">
        <v>6</v>
      </c>
      <c r="L12" s="2366"/>
      <c r="M12" s="2365">
        <v>7</v>
      </c>
      <c r="N12" s="2366"/>
      <c r="O12" s="2365">
        <v>8</v>
      </c>
      <c r="P12" s="2366"/>
      <c r="Q12" s="2365">
        <v>9</v>
      </c>
      <c r="R12" s="2366"/>
      <c r="S12" s="2365">
        <v>10</v>
      </c>
      <c r="T12" s="2366"/>
      <c r="U12" s="2365">
        <v>11</v>
      </c>
      <c r="V12" s="2366"/>
      <c r="W12" s="2365">
        <v>12</v>
      </c>
      <c r="X12" s="2366"/>
      <c r="Y12" s="2365">
        <v>13</v>
      </c>
      <c r="Z12" s="2366"/>
      <c r="AA12" s="2365" t="s">
        <v>61</v>
      </c>
      <c r="AB12" s="2366"/>
      <c r="AC12" s="2365" t="s">
        <v>62</v>
      </c>
      <c r="AD12" s="2366"/>
      <c r="AE12" s="2374">
        <v>16</v>
      </c>
    </row>
    <row r="13" spans="1:31" s="55" customFormat="1" ht="18.75" customHeight="1">
      <c r="A13" s="2368"/>
      <c r="B13" s="2368"/>
      <c r="C13" s="2370"/>
      <c r="D13" s="2371"/>
      <c r="E13" s="2371"/>
      <c r="F13" s="2371"/>
      <c r="G13" s="2371"/>
      <c r="H13" s="2372"/>
      <c r="I13" s="2368"/>
      <c r="J13" s="2368"/>
      <c r="K13" s="66" t="s">
        <v>51</v>
      </c>
      <c r="L13" s="66" t="s">
        <v>72</v>
      </c>
      <c r="M13" s="66" t="s">
        <v>51</v>
      </c>
      <c r="N13" s="66" t="s">
        <v>72</v>
      </c>
      <c r="O13" s="66" t="s">
        <v>51</v>
      </c>
      <c r="P13" s="66" t="s">
        <v>72</v>
      </c>
      <c r="Q13" s="66" t="s">
        <v>51</v>
      </c>
      <c r="R13" s="66" t="s">
        <v>72</v>
      </c>
      <c r="S13" s="66" t="s">
        <v>51</v>
      </c>
      <c r="T13" s="66" t="s">
        <v>72</v>
      </c>
      <c r="U13" s="66" t="s">
        <v>51</v>
      </c>
      <c r="V13" s="66" t="s">
        <v>72</v>
      </c>
      <c r="W13" s="66" t="s">
        <v>51</v>
      </c>
      <c r="X13" s="66" t="s">
        <v>72</v>
      </c>
      <c r="Y13" s="66" t="s">
        <v>51</v>
      </c>
      <c r="Z13" s="66" t="s">
        <v>72</v>
      </c>
      <c r="AA13" s="66" t="s">
        <v>51</v>
      </c>
      <c r="AB13" s="66" t="s">
        <v>72</v>
      </c>
      <c r="AC13" s="66" t="s">
        <v>51</v>
      </c>
      <c r="AD13" s="66" t="s">
        <v>81</v>
      </c>
      <c r="AE13" s="2375"/>
    </row>
    <row r="14" spans="1:31" s="69" customFormat="1" ht="30" customHeight="1">
      <c r="A14" s="70"/>
      <c r="B14" s="70"/>
      <c r="C14" s="70"/>
      <c r="D14" s="70"/>
      <c r="E14" s="70"/>
      <c r="F14" s="70"/>
      <c r="G14" s="70"/>
      <c r="H14" s="70"/>
      <c r="I14" s="71" t="s">
        <v>113</v>
      </c>
      <c r="J14" s="70"/>
      <c r="K14" s="70"/>
      <c r="L14" s="70"/>
      <c r="M14" s="70"/>
      <c r="N14" s="70"/>
      <c r="O14" s="70"/>
      <c r="P14" s="70"/>
      <c r="Q14" s="70"/>
      <c r="R14" s="70"/>
      <c r="S14" s="70"/>
      <c r="T14" s="70"/>
      <c r="U14" s="70"/>
      <c r="V14" s="70"/>
      <c r="W14" s="70"/>
      <c r="X14" s="70"/>
      <c r="Y14" s="560"/>
      <c r="Z14" s="70"/>
      <c r="AA14" s="70"/>
      <c r="AB14" s="70"/>
      <c r="AC14" s="70"/>
      <c r="AD14" s="70"/>
      <c r="AE14" s="70"/>
    </row>
    <row r="15" spans="1:31" s="69" customFormat="1" ht="38.25" customHeight="1">
      <c r="A15" s="72"/>
      <c r="B15" s="72"/>
      <c r="C15" s="72"/>
      <c r="D15" s="72"/>
      <c r="E15" s="72"/>
      <c r="F15" s="72"/>
      <c r="G15" s="72"/>
      <c r="H15" s="72"/>
      <c r="I15" s="73" t="s">
        <v>114</v>
      </c>
      <c r="J15" s="72"/>
      <c r="K15" s="72"/>
      <c r="L15" s="72"/>
      <c r="M15" s="72"/>
      <c r="N15" s="72"/>
      <c r="O15" s="72"/>
      <c r="P15" s="72"/>
      <c r="Q15" s="72"/>
      <c r="R15" s="72"/>
      <c r="S15" s="72"/>
      <c r="T15" s="72"/>
      <c r="U15" s="72"/>
      <c r="V15" s="72"/>
      <c r="W15" s="72"/>
      <c r="X15" s="72"/>
      <c r="Y15" s="561"/>
      <c r="Z15" s="72"/>
      <c r="AA15" s="72"/>
      <c r="AB15" s="72"/>
      <c r="AC15" s="72"/>
      <c r="AD15" s="72"/>
      <c r="AE15" s="72"/>
    </row>
    <row r="16" spans="1:31" s="69" customFormat="1" ht="19.5" customHeight="1">
      <c r="A16" s="366" t="s">
        <v>30</v>
      </c>
      <c r="B16" s="67"/>
      <c r="C16" s="67"/>
      <c r="D16" s="67"/>
      <c r="E16" s="67"/>
      <c r="F16" s="67"/>
      <c r="G16" s="67"/>
      <c r="H16" s="67"/>
      <c r="I16" s="68" t="s">
        <v>115</v>
      </c>
      <c r="J16" s="67"/>
      <c r="K16" s="67"/>
      <c r="L16" s="67"/>
      <c r="M16" s="67"/>
      <c r="N16" s="67"/>
      <c r="O16" s="67"/>
      <c r="P16" s="67"/>
      <c r="Q16" s="67"/>
      <c r="R16" s="67"/>
      <c r="S16" s="67"/>
      <c r="T16" s="67"/>
      <c r="U16" s="67"/>
      <c r="V16" s="67"/>
      <c r="W16" s="67"/>
      <c r="X16" s="67"/>
      <c r="Y16" s="366"/>
      <c r="Z16" s="67"/>
      <c r="AA16" s="67"/>
      <c r="AB16" s="67"/>
      <c r="AC16" s="67"/>
      <c r="AD16" s="67"/>
      <c r="AE16" s="67"/>
    </row>
    <row r="17" spans="1:31" s="159" customFormat="1" ht="41.25" customHeight="1">
      <c r="A17" s="150">
        <v>1</v>
      </c>
      <c r="B17" s="150"/>
      <c r="C17" s="151" t="s">
        <v>66</v>
      </c>
      <c r="D17" s="151" t="s">
        <v>66</v>
      </c>
      <c r="E17" s="151" t="s">
        <v>66</v>
      </c>
      <c r="F17" s="151" t="s">
        <v>66</v>
      </c>
      <c r="G17" s="151" t="s">
        <v>66</v>
      </c>
      <c r="H17" s="150"/>
      <c r="I17" s="152" t="s">
        <v>221</v>
      </c>
      <c r="J17" s="152"/>
      <c r="K17" s="153">
        <f>O17*6</f>
        <v>97.005988023952085</v>
      </c>
      <c r="L17" s="154">
        <f t="shared" ref="L17:R17" si="0">SUM(L18:L33)</f>
        <v>15672819</v>
      </c>
      <c r="M17" s="153">
        <f>O17*2</f>
        <v>32.335329341317362</v>
      </c>
      <c r="N17" s="154">
        <f t="shared" si="0"/>
        <v>5600401</v>
      </c>
      <c r="O17" s="153">
        <f>189/1169*100</f>
        <v>16.167664670658681</v>
      </c>
      <c r="P17" s="155">
        <f t="shared" si="0"/>
        <v>2573167</v>
      </c>
      <c r="Q17" s="153">
        <f>O17/4</f>
        <v>4.0419161676646702</v>
      </c>
      <c r="R17" s="154">
        <f t="shared" si="0"/>
        <v>474602.25</v>
      </c>
      <c r="S17" s="156"/>
      <c r="T17" s="156"/>
      <c r="U17" s="156"/>
      <c r="V17" s="156"/>
      <c r="W17" s="156"/>
      <c r="X17" s="156"/>
      <c r="Y17" s="562">
        <f>Q17+S17+U17+W17</f>
        <v>4.0419161676646702</v>
      </c>
      <c r="Z17" s="158">
        <f>SUM(Z18:Z33)</f>
        <v>474606.375</v>
      </c>
      <c r="AA17" s="157">
        <f>M17+Y17</f>
        <v>36.377245508982028</v>
      </c>
      <c r="AB17" s="156">
        <f>SUM(AB18:AB33)</f>
        <v>6075007.375</v>
      </c>
      <c r="AC17" s="157">
        <f>(AA17/K17)*100</f>
        <v>37.499999999999993</v>
      </c>
      <c r="AD17" s="157">
        <f t="shared" ref="AD17:AD37" si="1">(AB17/L17)*100</f>
        <v>38.761421126601405</v>
      </c>
      <c r="AE17" s="152" t="s">
        <v>175</v>
      </c>
    </row>
    <row r="18" spans="1:31" s="159" customFormat="1" ht="51.75" customHeight="1">
      <c r="A18" s="160">
        <v>1</v>
      </c>
      <c r="B18" s="161"/>
      <c r="C18" s="162" t="s">
        <v>66</v>
      </c>
      <c r="D18" s="162" t="s">
        <v>66</v>
      </c>
      <c r="E18" s="162" t="s">
        <v>66</v>
      </c>
      <c r="F18" s="162" t="s">
        <v>66</v>
      </c>
      <c r="G18" s="162" t="s">
        <v>66</v>
      </c>
      <c r="H18" s="163" t="s">
        <v>65</v>
      </c>
      <c r="I18" s="164" t="s">
        <v>147</v>
      </c>
      <c r="J18" s="164" t="s">
        <v>229</v>
      </c>
      <c r="K18" s="160">
        <v>72</v>
      </c>
      <c r="L18" s="165">
        <v>657600</v>
      </c>
      <c r="M18" s="160">
        <v>24</v>
      </c>
      <c r="N18" s="166">
        <v>273600</v>
      </c>
      <c r="O18" s="160">
        <v>12</v>
      </c>
      <c r="P18" s="167">
        <v>96000</v>
      </c>
      <c r="Q18" s="160">
        <f>O18/4</f>
        <v>3</v>
      </c>
      <c r="R18" s="165">
        <v>15928</v>
      </c>
      <c r="S18" s="168"/>
      <c r="T18" s="169"/>
      <c r="U18" s="168"/>
      <c r="V18" s="168"/>
      <c r="W18" s="168"/>
      <c r="X18" s="168"/>
      <c r="Y18" s="160">
        <v>0</v>
      </c>
      <c r="Z18" s="165">
        <f>R18+T18+V18+X18</f>
        <v>15928</v>
      </c>
      <c r="AA18" s="168">
        <f>M18+Y18</f>
        <v>24</v>
      </c>
      <c r="AB18" s="165">
        <f>N18+Z18</f>
        <v>289528</v>
      </c>
      <c r="AC18" s="170">
        <f>(AA18/K18)*100</f>
        <v>33.333333333333329</v>
      </c>
      <c r="AD18" s="171">
        <f t="shared" si="1"/>
        <v>44.027980535279802</v>
      </c>
      <c r="AE18" s="161" t="s">
        <v>175</v>
      </c>
    </row>
    <row r="19" spans="1:31" s="159" customFormat="1" ht="41.25" customHeight="1">
      <c r="A19" s="160">
        <v>2</v>
      </c>
      <c r="B19" s="161"/>
      <c r="C19" s="162" t="s">
        <v>66</v>
      </c>
      <c r="D19" s="162" t="s">
        <v>66</v>
      </c>
      <c r="E19" s="162" t="s">
        <v>66</v>
      </c>
      <c r="F19" s="162" t="s">
        <v>66</v>
      </c>
      <c r="G19" s="162" t="s">
        <v>66</v>
      </c>
      <c r="H19" s="162" t="s">
        <v>198</v>
      </c>
      <c r="I19" s="161" t="s">
        <v>230</v>
      </c>
      <c r="J19" s="161" t="s">
        <v>231</v>
      </c>
      <c r="K19" s="172">
        <v>100</v>
      </c>
      <c r="L19" s="173">
        <f>P19*6</f>
        <v>890100</v>
      </c>
      <c r="M19" s="160">
        <v>24</v>
      </c>
      <c r="N19" s="174">
        <f>2*173498</f>
        <v>346996</v>
      </c>
      <c r="O19" s="172">
        <v>12</v>
      </c>
      <c r="P19" s="175">
        <v>148350</v>
      </c>
      <c r="Q19" s="160">
        <f>O19/4</f>
        <v>3</v>
      </c>
      <c r="R19" s="173">
        <f>P19/4</f>
        <v>37087.5</v>
      </c>
      <c r="S19" s="176"/>
      <c r="T19" s="169"/>
      <c r="U19" s="176"/>
      <c r="V19" s="176"/>
      <c r="W19" s="176"/>
      <c r="X19" s="176"/>
      <c r="Y19" s="160">
        <v>1</v>
      </c>
      <c r="Z19" s="165">
        <f t="shared" ref="Z19:Z33" si="2">R19+T19+V19+X19</f>
        <v>37087.5</v>
      </c>
      <c r="AA19" s="168">
        <f t="shared" ref="AA19:AB33" si="3">M19+Y19</f>
        <v>25</v>
      </c>
      <c r="AB19" s="165">
        <f t="shared" si="3"/>
        <v>384083.5</v>
      </c>
      <c r="AC19" s="170">
        <f t="shared" ref="AC19:AC33" si="4">(AA19/K19)*100</f>
        <v>25</v>
      </c>
      <c r="AD19" s="171">
        <f t="shared" si="1"/>
        <v>43.150601056061113</v>
      </c>
      <c r="AE19" s="161" t="s">
        <v>175</v>
      </c>
    </row>
    <row r="20" spans="1:31" s="159" customFormat="1" ht="33.75" customHeight="1">
      <c r="A20" s="160">
        <v>3</v>
      </c>
      <c r="B20" s="161"/>
      <c r="C20" s="162" t="s">
        <v>66</v>
      </c>
      <c r="D20" s="162" t="s">
        <v>66</v>
      </c>
      <c r="E20" s="162" t="s">
        <v>66</v>
      </c>
      <c r="F20" s="162" t="s">
        <v>66</v>
      </c>
      <c r="G20" s="162" t="s">
        <v>66</v>
      </c>
      <c r="H20" s="162" t="s">
        <v>93</v>
      </c>
      <c r="I20" s="161" t="s">
        <v>232</v>
      </c>
      <c r="J20" s="161" t="s">
        <v>233</v>
      </c>
      <c r="K20" s="172">
        <v>100</v>
      </c>
      <c r="L20" s="173">
        <f t="shared" ref="L20:L23" si="5">P20*6</f>
        <v>193224</v>
      </c>
      <c r="M20" s="160">
        <v>24</v>
      </c>
      <c r="N20" s="174">
        <f>2*32299</f>
        <v>64598</v>
      </c>
      <c r="O20" s="172">
        <v>12</v>
      </c>
      <c r="P20" s="175">
        <v>32204</v>
      </c>
      <c r="Q20" s="160">
        <f t="shared" ref="Q20:R28" si="6">O20/4</f>
        <v>3</v>
      </c>
      <c r="R20" s="173">
        <f t="shared" si="6"/>
        <v>8051</v>
      </c>
      <c r="S20" s="176"/>
      <c r="T20" s="169"/>
      <c r="U20" s="176"/>
      <c r="V20" s="176"/>
      <c r="W20" s="176"/>
      <c r="X20" s="176"/>
      <c r="Y20" s="160">
        <v>2</v>
      </c>
      <c r="Z20" s="165">
        <f t="shared" si="2"/>
        <v>8051</v>
      </c>
      <c r="AA20" s="168">
        <f t="shared" si="3"/>
        <v>26</v>
      </c>
      <c r="AB20" s="165">
        <f t="shared" si="3"/>
        <v>72649</v>
      </c>
      <c r="AC20" s="170">
        <f t="shared" si="4"/>
        <v>26</v>
      </c>
      <c r="AD20" s="171">
        <f t="shared" si="1"/>
        <v>37.598331470210738</v>
      </c>
      <c r="AE20" s="161" t="s">
        <v>175</v>
      </c>
    </row>
    <row r="21" spans="1:31" s="159" customFormat="1" ht="41.25" customHeight="1">
      <c r="A21" s="160">
        <v>4</v>
      </c>
      <c r="B21" s="161"/>
      <c r="C21" s="162" t="s">
        <v>66</v>
      </c>
      <c r="D21" s="162" t="s">
        <v>66</v>
      </c>
      <c r="E21" s="162" t="s">
        <v>66</v>
      </c>
      <c r="F21" s="162" t="s">
        <v>66</v>
      </c>
      <c r="G21" s="162" t="s">
        <v>66</v>
      </c>
      <c r="H21" s="162" t="s">
        <v>202</v>
      </c>
      <c r="I21" s="161" t="s">
        <v>150</v>
      </c>
      <c r="J21" s="161" t="s">
        <v>234</v>
      </c>
      <c r="K21" s="172">
        <v>100</v>
      </c>
      <c r="L21" s="173">
        <f t="shared" si="5"/>
        <v>183258</v>
      </c>
      <c r="M21" s="160">
        <v>24</v>
      </c>
      <c r="N21" s="174">
        <f>2*78000</f>
        <v>156000</v>
      </c>
      <c r="O21" s="172">
        <v>12</v>
      </c>
      <c r="P21" s="175">
        <v>30543</v>
      </c>
      <c r="Q21" s="160">
        <f t="shared" si="6"/>
        <v>3</v>
      </c>
      <c r="R21" s="173">
        <f t="shared" si="6"/>
        <v>7635.75</v>
      </c>
      <c r="S21" s="176"/>
      <c r="T21" s="169"/>
      <c r="U21" s="176"/>
      <c r="V21" s="176"/>
      <c r="W21" s="176"/>
      <c r="X21" s="176"/>
      <c r="Y21" s="160">
        <v>3</v>
      </c>
      <c r="Z21" s="165">
        <f t="shared" si="2"/>
        <v>7635.75</v>
      </c>
      <c r="AA21" s="168">
        <f t="shared" si="3"/>
        <v>27</v>
      </c>
      <c r="AB21" s="165">
        <f t="shared" si="3"/>
        <v>163635.75</v>
      </c>
      <c r="AC21" s="170">
        <f t="shared" si="4"/>
        <v>27</v>
      </c>
      <c r="AD21" s="171">
        <f t="shared" si="1"/>
        <v>89.292554758864554</v>
      </c>
      <c r="AE21" s="161" t="s">
        <v>175</v>
      </c>
    </row>
    <row r="22" spans="1:31" s="159" customFormat="1" ht="56.25" customHeight="1">
      <c r="A22" s="160">
        <v>5</v>
      </c>
      <c r="B22" s="161"/>
      <c r="C22" s="162" t="s">
        <v>66</v>
      </c>
      <c r="D22" s="162" t="s">
        <v>66</v>
      </c>
      <c r="E22" s="162" t="s">
        <v>66</v>
      </c>
      <c r="F22" s="162" t="s">
        <v>66</v>
      </c>
      <c r="G22" s="162" t="s">
        <v>66</v>
      </c>
      <c r="H22" s="162">
        <v>11</v>
      </c>
      <c r="I22" s="161" t="s">
        <v>235</v>
      </c>
      <c r="J22" s="161" t="s">
        <v>236</v>
      </c>
      <c r="K22" s="172">
        <v>100</v>
      </c>
      <c r="L22" s="173">
        <f t="shared" si="5"/>
        <v>350190</v>
      </c>
      <c r="M22" s="160">
        <v>24</v>
      </c>
      <c r="N22" s="174">
        <f>2*133485</f>
        <v>266970</v>
      </c>
      <c r="O22" s="172">
        <v>12</v>
      </c>
      <c r="P22" s="175">
        <v>58365</v>
      </c>
      <c r="Q22" s="160">
        <f t="shared" si="6"/>
        <v>3</v>
      </c>
      <c r="R22" s="173">
        <f t="shared" si="6"/>
        <v>14591.25</v>
      </c>
      <c r="S22" s="176"/>
      <c r="T22" s="169"/>
      <c r="U22" s="176"/>
      <c r="V22" s="176"/>
      <c r="W22" s="176"/>
      <c r="X22" s="176"/>
      <c r="Y22" s="160">
        <v>4</v>
      </c>
      <c r="Z22" s="165">
        <f t="shared" si="2"/>
        <v>14591.25</v>
      </c>
      <c r="AA22" s="168">
        <f t="shared" si="3"/>
        <v>28</v>
      </c>
      <c r="AB22" s="165">
        <f t="shared" si="3"/>
        <v>281561.25</v>
      </c>
      <c r="AC22" s="170">
        <f t="shared" si="4"/>
        <v>28.000000000000004</v>
      </c>
      <c r="AD22" s="171">
        <f t="shared" si="1"/>
        <v>80.402424398183854</v>
      </c>
      <c r="AE22" s="161" t="s">
        <v>175</v>
      </c>
    </row>
    <row r="23" spans="1:31" s="159" customFormat="1" ht="41.25" customHeight="1">
      <c r="A23" s="160">
        <v>6</v>
      </c>
      <c r="B23" s="161"/>
      <c r="C23" s="162" t="s">
        <v>66</v>
      </c>
      <c r="D23" s="162" t="s">
        <v>66</v>
      </c>
      <c r="E23" s="162" t="s">
        <v>66</v>
      </c>
      <c r="F23" s="162" t="s">
        <v>66</v>
      </c>
      <c r="G23" s="162" t="s">
        <v>66</v>
      </c>
      <c r="H23" s="162">
        <v>12</v>
      </c>
      <c r="I23" s="161" t="s">
        <v>152</v>
      </c>
      <c r="J23" s="161" t="s">
        <v>237</v>
      </c>
      <c r="K23" s="172">
        <v>100</v>
      </c>
      <c r="L23" s="173">
        <f t="shared" si="5"/>
        <v>180000</v>
      </c>
      <c r="M23" s="160">
        <v>24</v>
      </c>
      <c r="N23" s="174">
        <f>2*43000</f>
        <v>86000</v>
      </c>
      <c r="O23" s="172">
        <v>12</v>
      </c>
      <c r="P23" s="175">
        <v>30000</v>
      </c>
      <c r="Q23" s="160">
        <f t="shared" si="6"/>
        <v>3</v>
      </c>
      <c r="R23" s="173">
        <f t="shared" si="6"/>
        <v>7500</v>
      </c>
      <c r="S23" s="176"/>
      <c r="T23" s="169"/>
      <c r="U23" s="176"/>
      <c r="V23" s="176"/>
      <c r="W23" s="176"/>
      <c r="X23" s="176"/>
      <c r="Y23" s="160">
        <v>5</v>
      </c>
      <c r="Z23" s="165">
        <f t="shared" si="2"/>
        <v>7500</v>
      </c>
      <c r="AA23" s="168">
        <f t="shared" si="3"/>
        <v>29</v>
      </c>
      <c r="AB23" s="165">
        <f t="shared" si="3"/>
        <v>93500</v>
      </c>
      <c r="AC23" s="170">
        <f t="shared" si="4"/>
        <v>28.999999999999996</v>
      </c>
      <c r="AD23" s="171">
        <f t="shared" si="1"/>
        <v>51.94444444444445</v>
      </c>
      <c r="AE23" s="161" t="s">
        <v>175</v>
      </c>
    </row>
    <row r="24" spans="1:31" s="159" customFormat="1" ht="78.75" customHeight="1">
      <c r="A24" s="160">
        <v>7</v>
      </c>
      <c r="B24" s="161"/>
      <c r="C24" s="162" t="s">
        <v>66</v>
      </c>
      <c r="D24" s="162" t="s">
        <v>66</v>
      </c>
      <c r="E24" s="162" t="s">
        <v>66</v>
      </c>
      <c r="F24" s="162" t="s">
        <v>66</v>
      </c>
      <c r="G24" s="162" t="s">
        <v>66</v>
      </c>
      <c r="H24" s="163">
        <v>13</v>
      </c>
      <c r="I24" s="164" t="s">
        <v>238</v>
      </c>
      <c r="J24" s="161" t="s">
        <v>239</v>
      </c>
      <c r="K24" s="177">
        <v>6</v>
      </c>
      <c r="L24" s="178">
        <v>494150</v>
      </c>
      <c r="M24" s="177">
        <v>2</v>
      </c>
      <c r="N24" s="178">
        <v>314150</v>
      </c>
      <c r="O24" s="177">
        <v>1</v>
      </c>
      <c r="P24" s="179">
        <v>30000</v>
      </c>
      <c r="Q24" s="177">
        <v>0</v>
      </c>
      <c r="R24" s="178">
        <v>0</v>
      </c>
      <c r="S24" s="161"/>
      <c r="T24" s="169"/>
      <c r="U24" s="161"/>
      <c r="V24" s="161"/>
      <c r="W24" s="161"/>
      <c r="X24" s="161"/>
      <c r="Y24" s="160">
        <v>6</v>
      </c>
      <c r="Z24" s="165">
        <f t="shared" si="2"/>
        <v>0</v>
      </c>
      <c r="AA24" s="168">
        <f t="shared" si="3"/>
        <v>8</v>
      </c>
      <c r="AB24" s="165">
        <f t="shared" si="3"/>
        <v>314150</v>
      </c>
      <c r="AC24" s="170">
        <f t="shared" si="4"/>
        <v>133.33333333333331</v>
      </c>
      <c r="AD24" s="171">
        <f t="shared" si="1"/>
        <v>63.573813619346353</v>
      </c>
      <c r="AE24" s="161" t="s">
        <v>175</v>
      </c>
    </row>
    <row r="25" spans="1:31" s="159" customFormat="1" ht="41.25" customHeight="1">
      <c r="A25" s="160">
        <v>8</v>
      </c>
      <c r="B25" s="161"/>
      <c r="C25" s="162" t="s">
        <v>66</v>
      </c>
      <c r="D25" s="162" t="s">
        <v>66</v>
      </c>
      <c r="E25" s="162" t="s">
        <v>66</v>
      </c>
      <c r="F25" s="162" t="s">
        <v>66</v>
      </c>
      <c r="G25" s="162" t="s">
        <v>66</v>
      </c>
      <c r="H25" s="162">
        <v>15</v>
      </c>
      <c r="I25" s="161" t="s">
        <v>240</v>
      </c>
      <c r="J25" s="161" t="s">
        <v>241</v>
      </c>
      <c r="K25" s="172">
        <f>12*6</f>
        <v>72</v>
      </c>
      <c r="L25" s="173">
        <f t="shared" ref="L25:L28" si="7">P25*6</f>
        <v>83400</v>
      </c>
      <c r="M25" s="172">
        <f>12*2</f>
        <v>24</v>
      </c>
      <c r="N25" s="174">
        <f>2*15000</f>
        <v>30000</v>
      </c>
      <c r="O25" s="172">
        <v>12</v>
      </c>
      <c r="P25" s="175">
        <v>13900</v>
      </c>
      <c r="Q25" s="160">
        <f t="shared" si="6"/>
        <v>3</v>
      </c>
      <c r="R25" s="173">
        <f t="shared" si="6"/>
        <v>3475</v>
      </c>
      <c r="S25" s="161"/>
      <c r="T25" s="169"/>
      <c r="U25" s="161"/>
      <c r="V25" s="161"/>
      <c r="W25" s="161"/>
      <c r="X25" s="161"/>
      <c r="Y25" s="160">
        <v>7</v>
      </c>
      <c r="Z25" s="165">
        <f t="shared" si="2"/>
        <v>3475</v>
      </c>
      <c r="AA25" s="168">
        <f t="shared" si="3"/>
        <v>31</v>
      </c>
      <c r="AB25" s="165">
        <f t="shared" si="3"/>
        <v>33475</v>
      </c>
      <c r="AC25" s="170">
        <f t="shared" si="4"/>
        <v>43.055555555555557</v>
      </c>
      <c r="AD25" s="171">
        <f t="shared" si="1"/>
        <v>40.137889688249402</v>
      </c>
      <c r="AE25" s="161" t="s">
        <v>175</v>
      </c>
    </row>
    <row r="26" spans="1:31" s="159" customFormat="1" ht="41.25" customHeight="1">
      <c r="A26" s="160">
        <v>9</v>
      </c>
      <c r="B26" s="161"/>
      <c r="C26" s="162" t="s">
        <v>66</v>
      </c>
      <c r="D26" s="162" t="s">
        <v>66</v>
      </c>
      <c r="E26" s="162" t="s">
        <v>66</v>
      </c>
      <c r="F26" s="162" t="s">
        <v>66</v>
      </c>
      <c r="G26" s="162" t="s">
        <v>66</v>
      </c>
      <c r="H26" s="162">
        <v>17</v>
      </c>
      <c r="I26" s="161" t="s">
        <v>242</v>
      </c>
      <c r="J26" s="161" t="s">
        <v>243</v>
      </c>
      <c r="K26" s="172">
        <f>12*6</f>
        <v>72</v>
      </c>
      <c r="L26" s="173">
        <f t="shared" si="7"/>
        <v>483510</v>
      </c>
      <c r="M26" s="172">
        <f>12*2</f>
        <v>24</v>
      </c>
      <c r="N26" s="174">
        <f>2*115000</f>
        <v>230000</v>
      </c>
      <c r="O26" s="172">
        <v>12</v>
      </c>
      <c r="P26" s="175">
        <v>80585</v>
      </c>
      <c r="Q26" s="160">
        <f t="shared" si="6"/>
        <v>3</v>
      </c>
      <c r="R26" s="173">
        <f t="shared" si="6"/>
        <v>20146.25</v>
      </c>
      <c r="S26" s="161"/>
      <c r="T26" s="169"/>
      <c r="U26" s="161"/>
      <c r="V26" s="161"/>
      <c r="W26" s="161"/>
      <c r="X26" s="161"/>
      <c r="Y26" s="160">
        <v>8</v>
      </c>
      <c r="Z26" s="165">
        <f t="shared" si="2"/>
        <v>20146.25</v>
      </c>
      <c r="AA26" s="168">
        <f t="shared" si="3"/>
        <v>32</v>
      </c>
      <c r="AB26" s="165">
        <f t="shared" si="3"/>
        <v>250146.25</v>
      </c>
      <c r="AC26" s="170">
        <f t="shared" si="4"/>
        <v>44.444444444444443</v>
      </c>
      <c r="AD26" s="171">
        <f t="shared" si="1"/>
        <v>51.735486339475912</v>
      </c>
      <c r="AE26" s="161" t="s">
        <v>175</v>
      </c>
    </row>
    <row r="27" spans="1:31" s="159" customFormat="1" ht="41.25" customHeight="1">
      <c r="A27" s="160">
        <v>10</v>
      </c>
      <c r="B27" s="161"/>
      <c r="C27" s="162" t="s">
        <v>66</v>
      </c>
      <c r="D27" s="162" t="s">
        <v>66</v>
      </c>
      <c r="E27" s="162" t="s">
        <v>66</v>
      </c>
      <c r="F27" s="162" t="s">
        <v>66</v>
      </c>
      <c r="G27" s="162" t="s">
        <v>66</v>
      </c>
      <c r="H27" s="162">
        <v>18</v>
      </c>
      <c r="I27" s="161" t="s">
        <v>244</v>
      </c>
      <c r="J27" s="161" t="s">
        <v>245</v>
      </c>
      <c r="K27" s="172">
        <v>100</v>
      </c>
      <c r="L27" s="173">
        <f t="shared" si="7"/>
        <v>1212300</v>
      </c>
      <c r="M27" s="172">
        <v>33</v>
      </c>
      <c r="N27" s="174">
        <f>2*219550</f>
        <v>439100</v>
      </c>
      <c r="O27" s="172">
        <f>M27/2</f>
        <v>16.5</v>
      </c>
      <c r="P27" s="175">
        <v>202050</v>
      </c>
      <c r="Q27" s="180">
        <f t="shared" si="6"/>
        <v>4.125</v>
      </c>
      <c r="R27" s="173">
        <f t="shared" si="6"/>
        <v>50512.5</v>
      </c>
      <c r="S27" s="161"/>
      <c r="T27" s="181">
        <f>O27/4</f>
        <v>4.125</v>
      </c>
      <c r="U27" s="161"/>
      <c r="V27" s="161"/>
      <c r="W27" s="161"/>
      <c r="X27" s="161"/>
      <c r="Y27" s="160">
        <v>9</v>
      </c>
      <c r="Z27" s="165">
        <f t="shared" si="2"/>
        <v>50516.625</v>
      </c>
      <c r="AA27" s="168">
        <f t="shared" si="3"/>
        <v>42</v>
      </c>
      <c r="AB27" s="165">
        <f t="shared" si="3"/>
        <v>489616.625</v>
      </c>
      <c r="AC27" s="170">
        <f t="shared" si="4"/>
        <v>42</v>
      </c>
      <c r="AD27" s="171">
        <f t="shared" si="1"/>
        <v>40.38741441887322</v>
      </c>
      <c r="AE27" s="161" t="s">
        <v>175</v>
      </c>
    </row>
    <row r="28" spans="1:31" s="159" customFormat="1" ht="41.25" customHeight="1">
      <c r="A28" s="160">
        <v>11</v>
      </c>
      <c r="B28" s="161"/>
      <c r="C28" s="162" t="s">
        <v>66</v>
      </c>
      <c r="D28" s="162" t="s">
        <v>66</v>
      </c>
      <c r="E28" s="162" t="s">
        <v>66</v>
      </c>
      <c r="F28" s="162" t="s">
        <v>66</v>
      </c>
      <c r="G28" s="162" t="s">
        <v>66</v>
      </c>
      <c r="H28" s="162">
        <v>20</v>
      </c>
      <c r="I28" s="161" t="s">
        <v>246</v>
      </c>
      <c r="J28" s="161" t="s">
        <v>247</v>
      </c>
      <c r="K28" s="182">
        <v>1</v>
      </c>
      <c r="L28" s="173">
        <f t="shared" si="7"/>
        <v>612000</v>
      </c>
      <c r="M28" s="172">
        <v>33</v>
      </c>
      <c r="N28" s="174">
        <f>2*79250</f>
        <v>158500</v>
      </c>
      <c r="O28" s="172">
        <f>M28/2</f>
        <v>16.5</v>
      </c>
      <c r="P28" s="175">
        <v>102000</v>
      </c>
      <c r="Q28" s="180">
        <f t="shared" si="6"/>
        <v>4.125</v>
      </c>
      <c r="R28" s="173">
        <f t="shared" si="6"/>
        <v>25500</v>
      </c>
      <c r="S28" s="183"/>
      <c r="T28" s="184"/>
      <c r="U28" s="184"/>
      <c r="V28" s="184"/>
      <c r="W28" s="184"/>
      <c r="X28" s="183"/>
      <c r="Y28" s="160">
        <v>10</v>
      </c>
      <c r="Z28" s="165">
        <f t="shared" si="2"/>
        <v>25500</v>
      </c>
      <c r="AA28" s="168">
        <f t="shared" si="3"/>
        <v>43</v>
      </c>
      <c r="AB28" s="165">
        <f t="shared" si="3"/>
        <v>184000</v>
      </c>
      <c r="AC28" s="170">
        <f t="shared" si="4"/>
        <v>4300</v>
      </c>
      <c r="AD28" s="171">
        <f t="shared" si="1"/>
        <v>30.065359477124183</v>
      </c>
      <c r="AE28" s="161" t="s">
        <v>175</v>
      </c>
    </row>
    <row r="29" spans="1:31" s="159" customFormat="1" ht="41.25" customHeight="1">
      <c r="A29" s="160">
        <v>12</v>
      </c>
      <c r="B29" s="161"/>
      <c r="C29" s="162" t="s">
        <v>66</v>
      </c>
      <c r="D29" s="162" t="s">
        <v>66</v>
      </c>
      <c r="E29" s="162" t="s">
        <v>66</v>
      </c>
      <c r="F29" s="162" t="s">
        <v>66</v>
      </c>
      <c r="G29" s="162" t="s">
        <v>66</v>
      </c>
      <c r="H29" s="163">
        <v>22</v>
      </c>
      <c r="I29" s="185" t="s">
        <v>168</v>
      </c>
      <c r="J29" s="164" t="s">
        <v>248</v>
      </c>
      <c r="K29" s="160">
        <f>15*6</f>
        <v>90</v>
      </c>
      <c r="L29" s="186">
        <f>6*P29</f>
        <v>462000</v>
      </c>
      <c r="M29" s="163">
        <f>15*3</f>
        <v>45</v>
      </c>
      <c r="N29" s="187">
        <f>2*P29</f>
        <v>154000</v>
      </c>
      <c r="O29" s="160">
        <v>15</v>
      </c>
      <c r="P29" s="167">
        <v>77000</v>
      </c>
      <c r="Q29" s="163">
        <v>7</v>
      </c>
      <c r="R29" s="165">
        <v>0</v>
      </c>
      <c r="S29" s="168"/>
      <c r="T29" s="168"/>
      <c r="U29" s="168"/>
      <c r="V29" s="168"/>
      <c r="W29" s="168"/>
      <c r="X29" s="168"/>
      <c r="Y29" s="160">
        <v>11</v>
      </c>
      <c r="Z29" s="165">
        <f t="shared" si="2"/>
        <v>0</v>
      </c>
      <c r="AA29" s="168">
        <f t="shared" si="3"/>
        <v>56</v>
      </c>
      <c r="AB29" s="165">
        <f t="shared" si="3"/>
        <v>154000</v>
      </c>
      <c r="AC29" s="170">
        <f t="shared" si="4"/>
        <v>62.222222222222221</v>
      </c>
      <c r="AD29" s="171">
        <f t="shared" si="1"/>
        <v>33.333333333333329</v>
      </c>
      <c r="AE29" s="161" t="s">
        <v>175</v>
      </c>
    </row>
    <row r="30" spans="1:31" s="159" customFormat="1" ht="41.25" customHeight="1">
      <c r="A30" s="160">
        <v>13</v>
      </c>
      <c r="B30" s="161"/>
      <c r="C30" s="162" t="s">
        <v>66</v>
      </c>
      <c r="D30" s="162" t="s">
        <v>66</v>
      </c>
      <c r="E30" s="162" t="s">
        <v>66</v>
      </c>
      <c r="F30" s="162" t="s">
        <v>66</v>
      </c>
      <c r="G30" s="162" t="s">
        <v>66</v>
      </c>
      <c r="H30" s="162">
        <v>23</v>
      </c>
      <c r="I30" s="161" t="s">
        <v>249</v>
      </c>
      <c r="J30" s="161" t="s">
        <v>250</v>
      </c>
      <c r="K30" s="172">
        <v>100</v>
      </c>
      <c r="L30" s="173">
        <f t="shared" ref="L30" si="8">P30*6</f>
        <v>1432200</v>
      </c>
      <c r="M30" s="172">
        <v>33</v>
      </c>
      <c r="N30" s="174">
        <f>2*217800</f>
        <v>435600</v>
      </c>
      <c r="O30" s="172">
        <f>M30/2</f>
        <v>16.5</v>
      </c>
      <c r="P30" s="175">
        <v>238700</v>
      </c>
      <c r="Q30" s="180">
        <f>O30/4</f>
        <v>4.125</v>
      </c>
      <c r="R30" s="173">
        <f t="shared" ref="R30" si="9">P30/4</f>
        <v>59675</v>
      </c>
      <c r="S30" s="183"/>
      <c r="T30" s="184"/>
      <c r="U30" s="184"/>
      <c r="V30" s="184"/>
      <c r="W30" s="184"/>
      <c r="X30" s="183"/>
      <c r="Y30" s="160">
        <v>12</v>
      </c>
      <c r="Z30" s="165">
        <f t="shared" si="2"/>
        <v>59675</v>
      </c>
      <c r="AA30" s="168">
        <f t="shared" si="3"/>
        <v>45</v>
      </c>
      <c r="AB30" s="165">
        <f t="shared" si="3"/>
        <v>495275</v>
      </c>
      <c r="AC30" s="170">
        <f t="shared" si="4"/>
        <v>45</v>
      </c>
      <c r="AD30" s="171">
        <f t="shared" si="1"/>
        <v>34.581413210445469</v>
      </c>
      <c r="AE30" s="161" t="s">
        <v>175</v>
      </c>
    </row>
    <row r="31" spans="1:31" s="159" customFormat="1" ht="102" customHeight="1">
      <c r="A31" s="160">
        <v>14</v>
      </c>
      <c r="B31" s="161"/>
      <c r="C31" s="163">
        <v>3</v>
      </c>
      <c r="D31" s="163" t="s">
        <v>107</v>
      </c>
      <c r="E31" s="162" t="s">
        <v>65</v>
      </c>
      <c r="F31" s="163" t="s">
        <v>66</v>
      </c>
      <c r="G31" s="163" t="s">
        <v>67</v>
      </c>
      <c r="H31" s="163">
        <v>27</v>
      </c>
      <c r="I31" s="164" t="s">
        <v>251</v>
      </c>
      <c r="J31" s="161" t="s">
        <v>252</v>
      </c>
      <c r="K31" s="177">
        <v>6</v>
      </c>
      <c r="L31" s="188">
        <v>8071387</v>
      </c>
      <c r="M31" s="177">
        <v>2</v>
      </c>
      <c r="N31" s="178">
        <v>2547387</v>
      </c>
      <c r="O31" s="177">
        <v>1</v>
      </c>
      <c r="P31" s="179">
        <v>1381000</v>
      </c>
      <c r="Q31" s="177">
        <v>3</v>
      </c>
      <c r="R31" s="178">
        <v>224500</v>
      </c>
      <c r="S31" s="161"/>
      <c r="T31" s="169"/>
      <c r="U31" s="161"/>
      <c r="V31" s="161"/>
      <c r="W31" s="161"/>
      <c r="X31" s="161"/>
      <c r="Y31" s="160">
        <v>13</v>
      </c>
      <c r="Z31" s="165">
        <f t="shared" si="2"/>
        <v>224500</v>
      </c>
      <c r="AA31" s="168">
        <f t="shared" si="3"/>
        <v>15</v>
      </c>
      <c r="AB31" s="165">
        <f t="shared" si="3"/>
        <v>2771887</v>
      </c>
      <c r="AC31" s="170">
        <f t="shared" si="4"/>
        <v>250</v>
      </c>
      <c r="AD31" s="171">
        <f t="shared" si="1"/>
        <v>34.342139709073543</v>
      </c>
      <c r="AE31" s="161" t="s">
        <v>175</v>
      </c>
    </row>
    <row r="32" spans="1:31" s="159" customFormat="1" ht="66.75" customHeight="1">
      <c r="A32" s="160">
        <v>15</v>
      </c>
      <c r="B32" s="189"/>
      <c r="C32" s="190" t="s">
        <v>66</v>
      </c>
      <c r="D32" s="190" t="s">
        <v>66</v>
      </c>
      <c r="E32" s="190" t="s">
        <v>66</v>
      </c>
      <c r="F32" s="190" t="s">
        <v>66</v>
      </c>
      <c r="G32" s="190" t="s">
        <v>66</v>
      </c>
      <c r="H32" s="191">
        <v>33</v>
      </c>
      <c r="I32" s="189" t="s">
        <v>253</v>
      </c>
      <c r="J32" s="189" t="s">
        <v>254</v>
      </c>
      <c r="K32" s="177">
        <v>50</v>
      </c>
      <c r="L32" s="192">
        <f>37500*5</f>
        <v>187500</v>
      </c>
      <c r="M32" s="177">
        <v>20</v>
      </c>
      <c r="N32" s="192">
        <v>37500</v>
      </c>
      <c r="O32" s="177">
        <v>10</v>
      </c>
      <c r="P32" s="179">
        <v>22470</v>
      </c>
      <c r="Q32" s="177">
        <v>0</v>
      </c>
      <c r="R32" s="192">
        <v>0</v>
      </c>
      <c r="S32" s="189"/>
      <c r="T32" s="193"/>
      <c r="U32" s="189"/>
      <c r="V32" s="189"/>
      <c r="W32" s="189"/>
      <c r="X32" s="189"/>
      <c r="Y32" s="160">
        <v>14</v>
      </c>
      <c r="Z32" s="165">
        <f t="shared" si="2"/>
        <v>0</v>
      </c>
      <c r="AA32" s="168">
        <f t="shared" si="3"/>
        <v>34</v>
      </c>
      <c r="AB32" s="165">
        <f t="shared" si="3"/>
        <v>37500</v>
      </c>
      <c r="AC32" s="170">
        <f t="shared" si="4"/>
        <v>68</v>
      </c>
      <c r="AD32" s="171">
        <f t="shared" si="1"/>
        <v>20</v>
      </c>
      <c r="AE32" s="161" t="s">
        <v>175</v>
      </c>
    </row>
    <row r="33" spans="1:31" s="159" customFormat="1" ht="41.25" customHeight="1">
      <c r="A33" s="160">
        <v>16</v>
      </c>
      <c r="B33" s="161"/>
      <c r="C33" s="162" t="s">
        <v>66</v>
      </c>
      <c r="D33" s="162" t="s">
        <v>66</v>
      </c>
      <c r="E33" s="162" t="s">
        <v>66</v>
      </c>
      <c r="F33" s="162" t="s">
        <v>66</v>
      </c>
      <c r="G33" s="162" t="s">
        <v>66</v>
      </c>
      <c r="H33" s="162">
        <v>37</v>
      </c>
      <c r="I33" s="161" t="s">
        <v>255</v>
      </c>
      <c r="J33" s="161" t="s">
        <v>256</v>
      </c>
      <c r="K33" s="172">
        <v>100</v>
      </c>
      <c r="L33" s="173">
        <f t="shared" ref="L33" si="10">P33*6</f>
        <v>180000</v>
      </c>
      <c r="M33" s="172">
        <v>33</v>
      </c>
      <c r="N33" s="174">
        <f>2*30000</f>
        <v>60000</v>
      </c>
      <c r="O33" s="172">
        <f>M33/2</f>
        <v>16.5</v>
      </c>
      <c r="P33" s="175">
        <v>30000</v>
      </c>
      <c r="Q33" s="177">
        <v>0</v>
      </c>
      <c r="R33" s="192">
        <v>0</v>
      </c>
      <c r="S33" s="183"/>
      <c r="T33" s="184"/>
      <c r="U33" s="184"/>
      <c r="V33" s="184"/>
      <c r="W33" s="184"/>
      <c r="X33" s="183"/>
      <c r="Y33" s="160">
        <v>15</v>
      </c>
      <c r="Z33" s="165">
        <f t="shared" si="2"/>
        <v>0</v>
      </c>
      <c r="AA33" s="168">
        <f t="shared" si="3"/>
        <v>48</v>
      </c>
      <c r="AB33" s="165">
        <f t="shared" si="3"/>
        <v>60000</v>
      </c>
      <c r="AC33" s="170">
        <f t="shared" si="4"/>
        <v>48</v>
      </c>
      <c r="AD33" s="171">
        <f t="shared" si="1"/>
        <v>33.333333333333329</v>
      </c>
      <c r="AE33" s="161" t="s">
        <v>175</v>
      </c>
    </row>
    <row r="34" spans="1:31" s="159" customFormat="1" ht="41.25" customHeight="1">
      <c r="A34" s="195">
        <v>2</v>
      </c>
      <c r="B34" s="152"/>
      <c r="C34" s="151" t="s">
        <v>66</v>
      </c>
      <c r="D34" s="151" t="s">
        <v>66</v>
      </c>
      <c r="E34" s="151" t="s">
        <v>66</v>
      </c>
      <c r="F34" s="151" t="s">
        <v>66</v>
      </c>
      <c r="G34" s="151" t="s">
        <v>65</v>
      </c>
      <c r="H34" s="196"/>
      <c r="I34" s="197" t="s">
        <v>257</v>
      </c>
      <c r="J34" s="198"/>
      <c r="K34" s="195">
        <v>100</v>
      </c>
      <c r="L34" s="199">
        <f t="shared" ref="L34:R34" si="11">SUM(L35:L37)</f>
        <v>1287624</v>
      </c>
      <c r="M34" s="195">
        <v>33</v>
      </c>
      <c r="N34" s="199">
        <f t="shared" si="11"/>
        <v>399418</v>
      </c>
      <c r="O34" s="195">
        <v>16.5</v>
      </c>
      <c r="P34" s="200">
        <f t="shared" si="11"/>
        <v>214604</v>
      </c>
      <c r="Q34" s="201">
        <v>4</v>
      </c>
      <c r="R34" s="195">
        <f t="shared" si="11"/>
        <v>44901</v>
      </c>
      <c r="S34" s="202"/>
      <c r="T34" s="202"/>
      <c r="U34" s="202"/>
      <c r="V34" s="202"/>
      <c r="W34" s="202"/>
      <c r="X34" s="202"/>
      <c r="Y34" s="150">
        <f>Q34+S34+U34+W34</f>
        <v>4</v>
      </c>
      <c r="Z34" s="158">
        <f>SUM(Z35:Z37)</f>
        <v>44901</v>
      </c>
      <c r="AA34" s="203">
        <f>M34+Y34</f>
        <v>37</v>
      </c>
      <c r="AB34" s="156">
        <f>SUM(AB35:AB37)</f>
        <v>444319</v>
      </c>
      <c r="AC34" s="157">
        <f>(AA34/K34)*100</f>
        <v>37</v>
      </c>
      <c r="AD34" s="157">
        <f t="shared" si="1"/>
        <v>34.506890210185581</v>
      </c>
      <c r="AE34" s="161" t="s">
        <v>175</v>
      </c>
    </row>
    <row r="35" spans="1:31" s="159" customFormat="1" ht="41.25" customHeight="1">
      <c r="A35" s="160">
        <v>1</v>
      </c>
      <c r="B35" s="161"/>
      <c r="C35" s="162" t="s">
        <v>66</v>
      </c>
      <c r="D35" s="162" t="s">
        <v>66</v>
      </c>
      <c r="E35" s="162" t="s">
        <v>66</v>
      </c>
      <c r="F35" s="162" t="s">
        <v>66</v>
      </c>
      <c r="G35" s="162" t="s">
        <v>65</v>
      </c>
      <c r="H35" s="162">
        <v>22</v>
      </c>
      <c r="I35" s="161" t="s">
        <v>258</v>
      </c>
      <c r="J35" s="161" t="s">
        <v>259</v>
      </c>
      <c r="K35" s="172">
        <v>100</v>
      </c>
      <c r="L35" s="173">
        <f t="shared" ref="L35:L37" si="12">P35*6</f>
        <v>210000</v>
      </c>
      <c r="M35" s="172">
        <v>33</v>
      </c>
      <c r="N35" s="174">
        <f>2*50000</f>
        <v>100000</v>
      </c>
      <c r="O35" s="172">
        <f>M35/2</f>
        <v>16.5</v>
      </c>
      <c r="P35" s="175">
        <v>35000</v>
      </c>
      <c r="Q35" s="204">
        <v>0</v>
      </c>
      <c r="R35" s="173">
        <v>0</v>
      </c>
      <c r="S35" s="183"/>
      <c r="T35" s="184"/>
      <c r="U35" s="184"/>
      <c r="V35" s="184"/>
      <c r="W35" s="184"/>
      <c r="X35" s="183"/>
      <c r="Y35" s="160">
        <v>0</v>
      </c>
      <c r="Z35" s="165">
        <f>R35+T35+V35+X35</f>
        <v>0</v>
      </c>
      <c r="AA35" s="168">
        <f>M35+Y35</f>
        <v>33</v>
      </c>
      <c r="AB35" s="165">
        <f>N35+Z35</f>
        <v>100000</v>
      </c>
      <c r="AC35" s="170">
        <f>(AA35/K35)*100</f>
        <v>33</v>
      </c>
      <c r="AD35" s="171">
        <f t="shared" si="1"/>
        <v>47.619047619047613</v>
      </c>
      <c r="AE35" s="161" t="s">
        <v>175</v>
      </c>
    </row>
    <row r="36" spans="1:31" s="159" customFormat="1" ht="41.25" customHeight="1">
      <c r="A36" s="160">
        <v>2</v>
      </c>
      <c r="B36" s="161"/>
      <c r="C36" s="162" t="s">
        <v>66</v>
      </c>
      <c r="D36" s="162" t="s">
        <v>66</v>
      </c>
      <c r="E36" s="162" t="s">
        <v>66</v>
      </c>
      <c r="F36" s="162" t="s">
        <v>66</v>
      </c>
      <c r="G36" s="162" t="s">
        <v>65</v>
      </c>
      <c r="H36" s="162">
        <v>24</v>
      </c>
      <c r="I36" s="161" t="s">
        <v>260</v>
      </c>
      <c r="J36" s="161" t="s">
        <v>261</v>
      </c>
      <c r="K36" s="172">
        <v>100</v>
      </c>
      <c r="L36" s="173">
        <f t="shared" si="12"/>
        <v>825624</v>
      </c>
      <c r="M36" s="172">
        <v>33</v>
      </c>
      <c r="N36" s="174">
        <f>2*107709</f>
        <v>215418</v>
      </c>
      <c r="O36" s="172">
        <f t="shared" ref="O36:O37" si="13">M36/2</f>
        <v>16.5</v>
      </c>
      <c r="P36" s="175">
        <v>137604</v>
      </c>
      <c r="Q36" s="180">
        <f>O36/4</f>
        <v>4.125</v>
      </c>
      <c r="R36" s="173">
        <f t="shared" ref="R36:R37" si="14">P36/4</f>
        <v>34401</v>
      </c>
      <c r="S36" s="183"/>
      <c r="T36" s="183"/>
      <c r="U36" s="183"/>
      <c r="V36" s="183"/>
      <c r="W36" s="183"/>
      <c r="X36" s="183"/>
      <c r="Y36" s="160">
        <v>1</v>
      </c>
      <c r="Z36" s="165">
        <f t="shared" ref="Z36:Z37" si="15">R36+T36+V36+X36</f>
        <v>34401</v>
      </c>
      <c r="AA36" s="168">
        <f t="shared" ref="AA36:AB37" si="16">M36+Y36</f>
        <v>34</v>
      </c>
      <c r="AB36" s="165">
        <f t="shared" si="16"/>
        <v>249819</v>
      </c>
      <c r="AC36" s="170">
        <f t="shared" ref="AC36:AC37" si="17">(AA36/K36)*100</f>
        <v>34</v>
      </c>
      <c r="AD36" s="171">
        <f t="shared" si="1"/>
        <v>30.258204703351648</v>
      </c>
      <c r="AE36" s="161" t="s">
        <v>175</v>
      </c>
    </row>
    <row r="37" spans="1:31" s="159" customFormat="1" ht="41.25" customHeight="1">
      <c r="A37" s="160">
        <v>3</v>
      </c>
      <c r="B37" s="161"/>
      <c r="C37" s="162" t="s">
        <v>66</v>
      </c>
      <c r="D37" s="162" t="s">
        <v>66</v>
      </c>
      <c r="E37" s="162" t="s">
        <v>66</v>
      </c>
      <c r="F37" s="162" t="s">
        <v>66</v>
      </c>
      <c r="G37" s="162" t="s">
        <v>65</v>
      </c>
      <c r="H37" s="162">
        <v>30</v>
      </c>
      <c r="I37" s="161" t="s">
        <v>262</v>
      </c>
      <c r="J37" s="161" t="s">
        <v>263</v>
      </c>
      <c r="K37" s="172">
        <v>100</v>
      </c>
      <c r="L37" s="173">
        <f t="shared" si="12"/>
        <v>252000</v>
      </c>
      <c r="M37" s="172">
        <v>33</v>
      </c>
      <c r="N37" s="174">
        <f>2*42000</f>
        <v>84000</v>
      </c>
      <c r="O37" s="172">
        <f t="shared" si="13"/>
        <v>16.5</v>
      </c>
      <c r="P37" s="175">
        <v>42000</v>
      </c>
      <c r="Q37" s="180">
        <f>O37/4</f>
        <v>4.125</v>
      </c>
      <c r="R37" s="173">
        <f t="shared" si="14"/>
        <v>10500</v>
      </c>
      <c r="S37" s="183"/>
      <c r="T37" s="183"/>
      <c r="U37" s="183"/>
      <c r="V37" s="183"/>
      <c r="W37" s="183"/>
      <c r="X37" s="183"/>
      <c r="Y37" s="160">
        <v>2</v>
      </c>
      <c r="Z37" s="165">
        <f t="shared" si="15"/>
        <v>10500</v>
      </c>
      <c r="AA37" s="168">
        <f t="shared" si="16"/>
        <v>35</v>
      </c>
      <c r="AB37" s="165">
        <f t="shared" si="16"/>
        <v>94500</v>
      </c>
      <c r="AC37" s="170">
        <f t="shared" si="17"/>
        <v>35</v>
      </c>
      <c r="AD37" s="171">
        <f t="shared" si="1"/>
        <v>37.5</v>
      </c>
      <c r="AE37" s="161" t="s">
        <v>175</v>
      </c>
    </row>
    <row r="38" spans="1:31" s="159" customFormat="1" ht="9.75" customHeight="1">
      <c r="A38" s="205"/>
      <c r="B38" s="206"/>
      <c r="C38" s="206"/>
      <c r="D38" s="206"/>
      <c r="E38" s="206"/>
      <c r="F38" s="206"/>
      <c r="G38" s="206"/>
      <c r="H38" s="206"/>
      <c r="I38" s="207"/>
      <c r="J38" s="207"/>
      <c r="K38" s="208"/>
      <c r="L38" s="194"/>
      <c r="M38" s="209">
        <f>K39/6</f>
        <v>16.666666666666668</v>
      </c>
      <c r="N38" s="210"/>
      <c r="O38" s="209"/>
      <c r="P38" s="210"/>
      <c r="Q38" s="211">
        <f>O39/4</f>
        <v>4.166666666666667</v>
      </c>
      <c r="R38" s="194"/>
      <c r="S38" s="208"/>
      <c r="T38" s="194"/>
      <c r="U38" s="208"/>
      <c r="V38" s="194"/>
      <c r="W38" s="208"/>
      <c r="X38" s="194"/>
      <c r="Y38" s="212"/>
      <c r="Z38" s="194"/>
      <c r="AA38" s="208"/>
      <c r="AB38" s="194"/>
      <c r="AC38" s="194"/>
      <c r="AD38" s="194"/>
      <c r="AE38" s="213"/>
    </row>
    <row r="39" spans="1:31" s="159" customFormat="1" ht="41.25" customHeight="1">
      <c r="A39" s="214">
        <v>3</v>
      </c>
      <c r="B39" s="152"/>
      <c r="C39" s="151" t="s">
        <v>66</v>
      </c>
      <c r="D39" s="151" t="s">
        <v>66</v>
      </c>
      <c r="E39" s="151" t="s">
        <v>66</v>
      </c>
      <c r="F39" s="151" t="s">
        <v>66</v>
      </c>
      <c r="G39" s="151" t="s">
        <v>161</v>
      </c>
      <c r="H39" s="150"/>
      <c r="I39" s="152" t="s">
        <v>264</v>
      </c>
      <c r="J39" s="152"/>
      <c r="K39" s="214">
        <v>100</v>
      </c>
      <c r="L39" s="215">
        <f t="shared" ref="L39:R39" si="18">SUM(L40:L42)</f>
        <v>1641303</v>
      </c>
      <c r="M39" s="216">
        <f>O39*2</f>
        <v>33.333333333333336</v>
      </c>
      <c r="N39" s="217">
        <f t="shared" si="18"/>
        <v>546499</v>
      </c>
      <c r="O39" s="216">
        <f>M38</f>
        <v>16.666666666666668</v>
      </c>
      <c r="P39" s="217">
        <f t="shared" si="18"/>
        <v>273598</v>
      </c>
      <c r="Q39" s="216">
        <f>O39/3</f>
        <v>5.5555555555555562</v>
      </c>
      <c r="R39" s="217">
        <f t="shared" si="18"/>
        <v>59102</v>
      </c>
      <c r="S39" s="152"/>
      <c r="T39" s="152"/>
      <c r="U39" s="152"/>
      <c r="V39" s="152"/>
      <c r="W39" s="152"/>
      <c r="X39" s="152"/>
      <c r="Y39" s="218">
        <f>Q39+S39+U39+W39</f>
        <v>5.5555555555555562</v>
      </c>
      <c r="Z39" s="219">
        <f>SUM(Z40:Z42)</f>
        <v>59102</v>
      </c>
      <c r="AA39" s="220">
        <f>M39+Y39</f>
        <v>38.888888888888893</v>
      </c>
      <c r="AB39" s="221">
        <f>SUM(AB40:AB42)</f>
        <v>605601</v>
      </c>
      <c r="AC39" s="222">
        <f>(AA39/K39)*100</f>
        <v>38.888888888888893</v>
      </c>
      <c r="AD39" s="222">
        <f t="shared" ref="AD39:AD42" si="19">(AB39/L39)*100</f>
        <v>36.897574670856024</v>
      </c>
      <c r="AE39" s="161" t="s">
        <v>175</v>
      </c>
    </row>
    <row r="40" spans="1:31" s="159" customFormat="1" ht="41.25" customHeight="1">
      <c r="A40" s="177">
        <v>1</v>
      </c>
      <c r="B40" s="161"/>
      <c r="C40" s="163"/>
      <c r="D40" s="163"/>
      <c r="E40" s="162"/>
      <c r="F40" s="163"/>
      <c r="G40" s="163"/>
      <c r="H40" s="163"/>
      <c r="I40" s="185" t="s">
        <v>209</v>
      </c>
      <c r="J40" s="161" t="s">
        <v>265</v>
      </c>
      <c r="K40" s="177">
        <v>1</v>
      </c>
      <c r="L40" s="178">
        <f>6*P40</f>
        <v>300000</v>
      </c>
      <c r="M40" s="177">
        <v>1</v>
      </c>
      <c r="N40" s="178">
        <f>2*P40</f>
        <v>100000</v>
      </c>
      <c r="O40" s="177">
        <v>1</v>
      </c>
      <c r="P40" s="179">
        <v>50000</v>
      </c>
      <c r="Q40" s="177">
        <v>0</v>
      </c>
      <c r="R40" s="178">
        <v>0</v>
      </c>
      <c r="S40" s="161"/>
      <c r="T40" s="161"/>
      <c r="U40" s="161"/>
      <c r="V40" s="161"/>
      <c r="W40" s="161"/>
      <c r="X40" s="161"/>
      <c r="Y40" s="223">
        <f t="shared" ref="Y40:Z42" si="20">Q40+S40+U40+W40</f>
        <v>0</v>
      </c>
      <c r="Z40" s="224">
        <f t="shared" si="20"/>
        <v>0</v>
      </c>
      <c r="AA40" s="225">
        <f>M40+Y40</f>
        <v>1</v>
      </c>
      <c r="AB40" s="226">
        <f>N40+Z40</f>
        <v>100000</v>
      </c>
      <c r="AC40" s="227">
        <f>(AA40/K40)*100</f>
        <v>100</v>
      </c>
      <c r="AD40" s="227">
        <f t="shared" si="19"/>
        <v>33.333333333333329</v>
      </c>
      <c r="AE40" s="161" t="s">
        <v>175</v>
      </c>
    </row>
    <row r="41" spans="1:31" s="159" customFormat="1" ht="41.25" customHeight="1">
      <c r="A41" s="177">
        <v>2</v>
      </c>
      <c r="B41" s="161"/>
      <c r="C41" s="162" t="s">
        <v>66</v>
      </c>
      <c r="D41" s="162" t="s">
        <v>66</v>
      </c>
      <c r="E41" s="162" t="s">
        <v>66</v>
      </c>
      <c r="F41" s="162" t="s">
        <v>66</v>
      </c>
      <c r="G41" s="162" t="s">
        <v>161</v>
      </c>
      <c r="H41" s="163" t="s">
        <v>196</v>
      </c>
      <c r="I41" s="185" t="s">
        <v>266</v>
      </c>
      <c r="J41" s="161" t="s">
        <v>267</v>
      </c>
      <c r="K41" s="160">
        <f>150*6</f>
        <v>900</v>
      </c>
      <c r="L41" s="165">
        <f>74631+(5*74916)</f>
        <v>449211</v>
      </c>
      <c r="M41" s="163">
        <v>300</v>
      </c>
      <c r="N41" s="228">
        <f>74631+74916</f>
        <v>149547</v>
      </c>
      <c r="O41" s="160">
        <v>150</v>
      </c>
      <c r="P41" s="229">
        <v>74916</v>
      </c>
      <c r="Q41" s="163">
        <v>150</v>
      </c>
      <c r="R41" s="230">
        <v>59102</v>
      </c>
      <c r="S41" s="168"/>
      <c r="T41" s="169"/>
      <c r="U41" s="168"/>
      <c r="V41" s="168"/>
      <c r="W41" s="168"/>
      <c r="X41" s="168"/>
      <c r="Y41" s="223">
        <f t="shared" si="20"/>
        <v>150</v>
      </c>
      <c r="Z41" s="224">
        <f t="shared" si="20"/>
        <v>59102</v>
      </c>
      <c r="AA41" s="225">
        <f t="shared" ref="AA41:AB42" si="21">M41+Y41</f>
        <v>450</v>
      </c>
      <c r="AB41" s="226">
        <f t="shared" si="21"/>
        <v>208649</v>
      </c>
      <c r="AC41" s="227">
        <f t="shared" ref="AC41:AC42" si="22">(AA41/K41)*100</f>
        <v>50</v>
      </c>
      <c r="AD41" s="227">
        <f t="shared" si="19"/>
        <v>46.44788306608698</v>
      </c>
      <c r="AE41" s="161" t="s">
        <v>175</v>
      </c>
    </row>
    <row r="42" spans="1:31" s="159" customFormat="1" ht="41.25" customHeight="1">
      <c r="A42" s="177">
        <v>3</v>
      </c>
      <c r="B42" s="161"/>
      <c r="C42" s="162" t="s">
        <v>66</v>
      </c>
      <c r="D42" s="162" t="s">
        <v>66</v>
      </c>
      <c r="E42" s="162" t="s">
        <v>66</v>
      </c>
      <c r="F42" s="162" t="s">
        <v>66</v>
      </c>
      <c r="G42" s="162" t="s">
        <v>161</v>
      </c>
      <c r="H42" s="162">
        <v>14</v>
      </c>
      <c r="I42" s="161" t="s">
        <v>268</v>
      </c>
      <c r="J42" s="161" t="s">
        <v>269</v>
      </c>
      <c r="K42" s="177">
        <v>1</v>
      </c>
      <c r="L42" s="173">
        <f t="shared" ref="L42" si="23">P42*6</f>
        <v>892092</v>
      </c>
      <c r="M42" s="177">
        <v>1</v>
      </c>
      <c r="N42" s="174">
        <f>2*148476</f>
        <v>296952</v>
      </c>
      <c r="O42" s="177">
        <v>1</v>
      </c>
      <c r="P42" s="175">
        <v>148682</v>
      </c>
      <c r="Q42" s="177">
        <v>0</v>
      </c>
      <c r="R42" s="173">
        <v>0</v>
      </c>
      <c r="S42" s="183"/>
      <c r="T42" s="183"/>
      <c r="U42" s="183"/>
      <c r="V42" s="183"/>
      <c r="W42" s="183"/>
      <c r="X42" s="183"/>
      <c r="Y42" s="223">
        <f t="shared" si="20"/>
        <v>0</v>
      </c>
      <c r="Z42" s="224">
        <f t="shared" si="20"/>
        <v>0</v>
      </c>
      <c r="AA42" s="225">
        <f t="shared" si="21"/>
        <v>1</v>
      </c>
      <c r="AB42" s="226">
        <f t="shared" si="21"/>
        <v>296952</v>
      </c>
      <c r="AC42" s="227">
        <f t="shared" si="22"/>
        <v>100</v>
      </c>
      <c r="AD42" s="227">
        <f t="shared" si="19"/>
        <v>33.287149755854777</v>
      </c>
      <c r="AE42" s="161" t="s">
        <v>175</v>
      </c>
    </row>
    <row r="43" spans="1:31" s="159" customFormat="1" ht="10.5" customHeight="1">
      <c r="A43" s="205"/>
      <c r="B43" s="206"/>
      <c r="C43" s="206"/>
      <c r="D43" s="206"/>
      <c r="E43" s="206"/>
      <c r="F43" s="206"/>
      <c r="G43" s="206"/>
      <c r="H43" s="206"/>
      <c r="I43" s="207"/>
      <c r="J43" s="207"/>
      <c r="K43" s="208"/>
      <c r="L43" s="231"/>
      <c r="M43" s="232"/>
      <c r="N43" s="231"/>
      <c r="O43" s="208"/>
      <c r="P43" s="194"/>
      <c r="Q43" s="208"/>
      <c r="R43" s="194"/>
      <c r="S43" s="208"/>
      <c r="T43" s="194"/>
      <c r="U43" s="208"/>
      <c r="V43" s="194"/>
      <c r="W43" s="208"/>
      <c r="X43" s="194"/>
      <c r="Y43" s="212"/>
      <c r="Z43" s="194"/>
      <c r="AA43" s="208"/>
      <c r="AB43" s="194"/>
      <c r="AC43" s="194"/>
      <c r="AD43" s="194"/>
      <c r="AE43" s="213"/>
    </row>
    <row r="44" spans="1:31" s="353" customFormat="1" ht="26.25" customHeight="1">
      <c r="A44" s="343">
        <v>4</v>
      </c>
      <c r="B44" s="343"/>
      <c r="C44" s="342" t="s">
        <v>146</v>
      </c>
      <c r="D44" s="342" t="s">
        <v>66</v>
      </c>
      <c r="E44" s="342" t="s">
        <v>66</v>
      </c>
      <c r="F44" s="342" t="s">
        <v>66</v>
      </c>
      <c r="G44" s="342" t="s">
        <v>166</v>
      </c>
      <c r="H44" s="343"/>
      <c r="I44" s="2404" t="s">
        <v>270</v>
      </c>
      <c r="J44" s="344" t="s">
        <v>271</v>
      </c>
      <c r="K44" s="345">
        <f>115-114.22</f>
        <v>0.78000000000000114</v>
      </c>
      <c r="L44" s="346">
        <f>SUM(L48:L72)</f>
        <v>111287938</v>
      </c>
      <c r="M44" s="347">
        <f>N43*2</f>
        <v>0</v>
      </c>
      <c r="N44" s="348">
        <f>SUM(N48:N72)</f>
        <v>19692321</v>
      </c>
      <c r="O44" s="347">
        <f>N43</f>
        <v>0</v>
      </c>
      <c r="P44" s="348">
        <f>SUM(P48:P1070)</f>
        <v>556678346777.23047</v>
      </c>
      <c r="Q44" s="349">
        <f>O44/4</f>
        <v>0</v>
      </c>
      <c r="R44" s="350">
        <f>SUM(R48:R1070)</f>
        <v>32737744163.162563</v>
      </c>
      <c r="S44" s="341"/>
      <c r="T44" s="350"/>
      <c r="U44" s="341"/>
      <c r="V44" s="350"/>
      <c r="W44" s="341"/>
      <c r="X44" s="350"/>
      <c r="Y44" s="351">
        <f>Q44+S44+U44+W44</f>
        <v>0</v>
      </c>
      <c r="Z44" s="350">
        <f>SUM(Z48:Z72)</f>
        <v>409489</v>
      </c>
      <c r="AA44" s="341">
        <f>M44+Y44</f>
        <v>0</v>
      </c>
      <c r="AB44" s="348">
        <f>SUM(AB48:AB72)</f>
        <v>20101810</v>
      </c>
      <c r="AC44" s="352">
        <f>(AA44/K44)*100</f>
        <v>0</v>
      </c>
      <c r="AD44" s="352">
        <f t="shared" ref="AD44:AD48" si="24">(AB44/L44)*100</f>
        <v>18.062882969401407</v>
      </c>
      <c r="AE44" s="344" t="s">
        <v>175</v>
      </c>
    </row>
    <row r="45" spans="1:31" s="353" customFormat="1" ht="25.5">
      <c r="A45" s="355"/>
      <c r="B45" s="355"/>
      <c r="C45" s="354"/>
      <c r="D45" s="354"/>
      <c r="E45" s="354"/>
      <c r="F45" s="354"/>
      <c r="G45" s="354"/>
      <c r="H45" s="355"/>
      <c r="I45" s="2405"/>
      <c r="J45" s="344" t="s">
        <v>272</v>
      </c>
      <c r="K45" s="345">
        <f>99.9-99.12</f>
        <v>0.78000000000000114</v>
      </c>
      <c r="L45" s="346"/>
      <c r="M45" s="347">
        <v>0.26</v>
      </c>
      <c r="N45" s="356"/>
      <c r="O45" s="347">
        <v>0.13</v>
      </c>
      <c r="P45" s="348"/>
      <c r="Q45" s="349">
        <f t="shared" ref="Q45:Q47" si="25">O45/4</f>
        <v>3.2500000000000001E-2</v>
      </c>
      <c r="R45" s="350"/>
      <c r="S45" s="341"/>
      <c r="T45" s="357"/>
      <c r="U45" s="343"/>
      <c r="V45" s="357"/>
      <c r="W45" s="343"/>
      <c r="X45" s="357"/>
      <c r="Y45" s="351"/>
      <c r="Z45" s="357"/>
      <c r="AA45" s="343"/>
      <c r="AB45" s="358"/>
      <c r="AC45" s="359"/>
      <c r="AD45" s="359"/>
      <c r="AE45" s="360"/>
    </row>
    <row r="46" spans="1:31" s="353" customFormat="1" ht="25.5">
      <c r="A46" s="355"/>
      <c r="B46" s="355"/>
      <c r="C46" s="354"/>
      <c r="D46" s="354"/>
      <c r="E46" s="354"/>
      <c r="F46" s="354"/>
      <c r="G46" s="354"/>
      <c r="H46" s="355"/>
      <c r="I46" s="2405"/>
      <c r="J46" s="344" t="s">
        <v>273</v>
      </c>
      <c r="K46" s="345">
        <f>105.77-101.61</f>
        <v>4.1599999999999966</v>
      </c>
      <c r="L46" s="346"/>
      <c r="M46" s="361">
        <f>M43*2</f>
        <v>0</v>
      </c>
      <c r="N46" s="348"/>
      <c r="O46" s="362">
        <f>M43</f>
        <v>0</v>
      </c>
      <c r="P46" s="348"/>
      <c r="Q46" s="349">
        <f t="shared" si="25"/>
        <v>0</v>
      </c>
      <c r="R46" s="350"/>
      <c r="S46" s="341"/>
      <c r="T46" s="357"/>
      <c r="U46" s="343"/>
      <c r="V46" s="357"/>
      <c r="W46" s="343"/>
      <c r="X46" s="357"/>
      <c r="Y46" s="351"/>
      <c r="Z46" s="357"/>
      <c r="AA46" s="343"/>
      <c r="AB46" s="358"/>
      <c r="AC46" s="359"/>
      <c r="AD46" s="359"/>
      <c r="AE46" s="360"/>
    </row>
    <row r="47" spans="1:31" s="353" customFormat="1" ht="38.25">
      <c r="A47" s="364"/>
      <c r="B47" s="364"/>
      <c r="C47" s="363"/>
      <c r="D47" s="363"/>
      <c r="E47" s="363"/>
      <c r="F47" s="363"/>
      <c r="G47" s="363"/>
      <c r="H47" s="364"/>
      <c r="I47" s="365"/>
      <c r="J47" s="344" t="s">
        <v>274</v>
      </c>
      <c r="K47" s="345">
        <f>90.72-89.9</f>
        <v>0.81999999999999318</v>
      </c>
      <c r="L47" s="346"/>
      <c r="M47" s="361">
        <f>L43*2</f>
        <v>0</v>
      </c>
      <c r="N47" s="348"/>
      <c r="O47" s="362">
        <f>L43</f>
        <v>0</v>
      </c>
      <c r="P47" s="348"/>
      <c r="Q47" s="349">
        <f t="shared" si="25"/>
        <v>0</v>
      </c>
      <c r="R47" s="350"/>
      <c r="S47" s="341"/>
      <c r="T47" s="357"/>
      <c r="U47" s="343"/>
      <c r="V47" s="357"/>
      <c r="W47" s="343"/>
      <c r="X47" s="357"/>
      <c r="Y47" s="351"/>
      <c r="Z47" s="357"/>
      <c r="AA47" s="343"/>
      <c r="AB47" s="358"/>
      <c r="AC47" s="359"/>
      <c r="AD47" s="359"/>
      <c r="AE47" s="360"/>
    </row>
    <row r="48" spans="1:31" s="244" customFormat="1" ht="36" customHeight="1">
      <c r="A48" s="225">
        <v>1</v>
      </c>
      <c r="B48" s="233"/>
      <c r="C48" s="234" t="s">
        <v>146</v>
      </c>
      <c r="D48" s="234" t="s">
        <v>66</v>
      </c>
      <c r="E48" s="234" t="s">
        <v>66</v>
      </c>
      <c r="F48" s="234" t="s">
        <v>66</v>
      </c>
      <c r="G48" s="234" t="s">
        <v>166</v>
      </c>
      <c r="H48" s="234" t="s">
        <v>201</v>
      </c>
      <c r="I48" s="235" t="s">
        <v>275</v>
      </c>
      <c r="J48" s="233" t="s">
        <v>276</v>
      </c>
      <c r="K48" s="236">
        <v>1</v>
      </c>
      <c r="L48" s="237">
        <v>1000000</v>
      </c>
      <c r="M48" s="238">
        <v>0</v>
      </c>
      <c r="N48" s="239">
        <v>0</v>
      </c>
      <c r="O48" s="236">
        <v>1</v>
      </c>
      <c r="P48" s="240">
        <v>75000</v>
      </c>
      <c r="Q48" s="238">
        <v>1</v>
      </c>
      <c r="R48" s="237">
        <v>0</v>
      </c>
      <c r="S48" s="236"/>
      <c r="T48" s="241"/>
      <c r="U48" s="225"/>
      <c r="V48" s="241"/>
      <c r="W48" s="225"/>
      <c r="X48" s="241"/>
      <c r="Y48" s="218">
        <f t="shared" ref="Y48:Z72" si="26">Q48+S48+U48+W48</f>
        <v>1</v>
      </c>
      <c r="Z48" s="242">
        <f>R48+T48+V48+X48</f>
        <v>0</v>
      </c>
      <c r="AA48" s="225">
        <f>M48+Y48</f>
        <v>1</v>
      </c>
      <c r="AB48" s="226">
        <f>N48+Z48</f>
        <v>0</v>
      </c>
      <c r="AC48" s="227">
        <f>(AA48/K48)*100</f>
        <v>100</v>
      </c>
      <c r="AD48" s="227">
        <f t="shared" si="24"/>
        <v>0</v>
      </c>
      <c r="AE48" s="243" t="s">
        <v>175</v>
      </c>
    </row>
    <row r="49" spans="1:34" s="255" customFormat="1" ht="63" customHeight="1">
      <c r="A49" s="245">
        <v>2</v>
      </c>
      <c r="B49" s="246"/>
      <c r="C49" s="247">
        <v>1</v>
      </c>
      <c r="D49" s="247" t="s">
        <v>66</v>
      </c>
      <c r="E49" s="247" t="s">
        <v>66</v>
      </c>
      <c r="F49" s="247" t="s">
        <v>66</v>
      </c>
      <c r="G49" s="247">
        <v>16</v>
      </c>
      <c r="H49" s="247" t="s">
        <v>277</v>
      </c>
      <c r="I49" s="246" t="s">
        <v>278</v>
      </c>
      <c r="J49" s="246" t="s">
        <v>279</v>
      </c>
      <c r="K49" s="248">
        <f t="shared" ref="K49:L49" si="27">6*O49</f>
        <v>288</v>
      </c>
      <c r="L49" s="224">
        <f t="shared" si="27"/>
        <v>37774200</v>
      </c>
      <c r="M49" s="247">
        <v>22</v>
      </c>
      <c r="N49" s="249">
        <f>3767000</f>
        <v>3767000</v>
      </c>
      <c r="O49" s="248">
        <v>48</v>
      </c>
      <c r="P49" s="250">
        <v>6295700</v>
      </c>
      <c r="Q49" s="247">
        <v>1</v>
      </c>
      <c r="R49" s="224">
        <v>3266</v>
      </c>
      <c r="S49" s="251"/>
      <c r="T49" s="252"/>
      <c r="U49" s="245"/>
      <c r="V49" s="252"/>
      <c r="W49" s="245"/>
      <c r="X49" s="252"/>
      <c r="Y49" s="218">
        <f t="shared" si="26"/>
        <v>1</v>
      </c>
      <c r="Z49" s="240">
        <f>R49+T49+V49+X49</f>
        <v>3266</v>
      </c>
      <c r="AA49" s="225">
        <f t="shared" ref="AA49:AB64" si="28">M49+Y49</f>
        <v>23</v>
      </c>
      <c r="AB49" s="226">
        <f t="shared" si="28"/>
        <v>3770266</v>
      </c>
      <c r="AC49" s="253">
        <f>(AA49/K49)*100</f>
        <v>7.9861111111111107</v>
      </c>
      <c r="AD49" s="253">
        <f>(AB49/L49)*100</f>
        <v>9.9810611475557387</v>
      </c>
      <c r="AE49" s="243" t="s">
        <v>175</v>
      </c>
      <c r="AF49" s="254"/>
    </row>
    <row r="50" spans="1:34" s="244" customFormat="1" ht="42.75" customHeight="1">
      <c r="A50" s="225">
        <v>3</v>
      </c>
      <c r="B50" s="233"/>
      <c r="C50" s="247">
        <v>1</v>
      </c>
      <c r="D50" s="247" t="s">
        <v>66</v>
      </c>
      <c r="E50" s="247" t="s">
        <v>66</v>
      </c>
      <c r="F50" s="247" t="s">
        <v>66</v>
      </c>
      <c r="G50" s="247">
        <v>16</v>
      </c>
      <c r="H50" s="247">
        <v>101</v>
      </c>
      <c r="I50" s="235" t="s">
        <v>280</v>
      </c>
      <c r="J50" s="233" t="s">
        <v>281</v>
      </c>
      <c r="K50" s="245">
        <v>32</v>
      </c>
      <c r="L50" s="256">
        <v>1942500</v>
      </c>
      <c r="M50" s="245">
        <v>7</v>
      </c>
      <c r="N50" s="256">
        <v>498962</v>
      </c>
      <c r="O50" s="245">
        <v>10</v>
      </c>
      <c r="P50" s="256">
        <v>647500</v>
      </c>
      <c r="Q50" s="245">
        <v>1</v>
      </c>
      <c r="R50" s="256">
        <v>52580</v>
      </c>
      <c r="S50" s="245"/>
      <c r="T50" s="240"/>
      <c r="U50" s="245"/>
      <c r="V50" s="252"/>
      <c r="W50" s="245"/>
      <c r="X50" s="252"/>
      <c r="Y50" s="218">
        <f t="shared" si="26"/>
        <v>1</v>
      </c>
      <c r="Z50" s="240">
        <f t="shared" si="26"/>
        <v>52580</v>
      </c>
      <c r="AA50" s="236">
        <f t="shared" si="28"/>
        <v>8</v>
      </c>
      <c r="AB50" s="237">
        <f t="shared" si="28"/>
        <v>551542</v>
      </c>
      <c r="AC50" s="253">
        <f t="shared" ref="AC50:AD65" si="29">(AA50/K50)*100</f>
        <v>25</v>
      </c>
      <c r="AD50" s="253">
        <f t="shared" si="29"/>
        <v>28.393410553410554</v>
      </c>
      <c r="AE50" s="233" t="s">
        <v>175</v>
      </c>
      <c r="AF50" s="257"/>
    </row>
    <row r="51" spans="1:34" s="244" customFormat="1" ht="44.25" customHeight="1">
      <c r="A51" s="245">
        <v>4</v>
      </c>
      <c r="B51" s="233"/>
      <c r="C51" s="258" t="s">
        <v>66</v>
      </c>
      <c r="D51" s="259" t="s">
        <v>66</v>
      </c>
      <c r="E51" s="259" t="s">
        <v>66</v>
      </c>
      <c r="F51" s="259" t="s">
        <v>66</v>
      </c>
      <c r="G51" s="259">
        <v>16</v>
      </c>
      <c r="H51" s="259" t="s">
        <v>282</v>
      </c>
      <c r="I51" s="235" t="s">
        <v>283</v>
      </c>
      <c r="J51" s="233" t="s">
        <v>284</v>
      </c>
      <c r="K51" s="245">
        <v>6</v>
      </c>
      <c r="L51" s="256">
        <f>6*P51</f>
        <v>1129950</v>
      </c>
      <c r="M51" s="245">
        <v>2</v>
      </c>
      <c r="N51" s="249">
        <f>2*P51</f>
        <v>376650</v>
      </c>
      <c r="O51" s="251">
        <v>1</v>
      </c>
      <c r="P51" s="249">
        <v>188325</v>
      </c>
      <c r="Q51" s="260">
        <v>0.1</v>
      </c>
      <c r="R51" s="249">
        <v>3266</v>
      </c>
      <c r="S51" s="251"/>
      <c r="T51" s="250"/>
      <c r="U51" s="251"/>
      <c r="V51" s="261"/>
      <c r="W51" s="251"/>
      <c r="X51" s="261"/>
      <c r="Y51" s="262">
        <f t="shared" si="26"/>
        <v>0.1</v>
      </c>
      <c r="Z51" s="250">
        <f t="shared" si="26"/>
        <v>3266</v>
      </c>
      <c r="AA51" s="263">
        <f t="shared" si="28"/>
        <v>2.1</v>
      </c>
      <c r="AB51" s="264">
        <f t="shared" si="28"/>
        <v>379916</v>
      </c>
      <c r="AC51" s="265">
        <f t="shared" si="29"/>
        <v>35</v>
      </c>
      <c r="AD51" s="265">
        <f t="shared" si="29"/>
        <v>33.622372671357134</v>
      </c>
      <c r="AE51" s="266" t="s">
        <v>175</v>
      </c>
    </row>
    <row r="52" spans="1:34" s="244" customFormat="1" ht="37.5" customHeight="1">
      <c r="A52" s="225">
        <v>5</v>
      </c>
      <c r="B52" s="233"/>
      <c r="C52" s="238" t="s">
        <v>66</v>
      </c>
      <c r="D52" s="238" t="s">
        <v>66</v>
      </c>
      <c r="E52" s="238" t="s">
        <v>66</v>
      </c>
      <c r="F52" s="238" t="s">
        <v>66</v>
      </c>
      <c r="G52" s="238" t="s">
        <v>166</v>
      </c>
      <c r="H52" s="247" t="s">
        <v>285</v>
      </c>
      <c r="I52" s="246" t="s">
        <v>286</v>
      </c>
      <c r="J52" s="233" t="s">
        <v>287</v>
      </c>
      <c r="K52" s="248">
        <f>4*4</f>
        <v>16</v>
      </c>
      <c r="L52" s="224">
        <f>4*40000</f>
        <v>160000</v>
      </c>
      <c r="M52" s="247">
        <v>0</v>
      </c>
      <c r="N52" s="267">
        <v>0</v>
      </c>
      <c r="O52" s="248">
        <v>4</v>
      </c>
      <c r="P52" s="268">
        <v>40000</v>
      </c>
      <c r="Q52" s="247">
        <v>1</v>
      </c>
      <c r="R52" s="268">
        <f>505+700</f>
        <v>1205</v>
      </c>
      <c r="S52" s="245"/>
      <c r="T52" s="240"/>
      <c r="U52" s="245"/>
      <c r="V52" s="252"/>
      <c r="W52" s="245"/>
      <c r="X52" s="252"/>
      <c r="Y52" s="218">
        <f t="shared" si="26"/>
        <v>1</v>
      </c>
      <c r="Z52" s="240">
        <f t="shared" si="26"/>
        <v>1205</v>
      </c>
      <c r="AA52" s="225">
        <f t="shared" si="28"/>
        <v>1</v>
      </c>
      <c r="AB52" s="226">
        <f t="shared" si="28"/>
        <v>1205</v>
      </c>
      <c r="AC52" s="253">
        <f t="shared" si="29"/>
        <v>6.25</v>
      </c>
      <c r="AD52" s="253">
        <f t="shared" si="29"/>
        <v>0.75312499999999993</v>
      </c>
      <c r="AE52" s="243" t="s">
        <v>175</v>
      </c>
    </row>
    <row r="53" spans="1:34" s="244" customFormat="1" ht="33.75" customHeight="1">
      <c r="A53" s="245">
        <v>6</v>
      </c>
      <c r="B53" s="233"/>
      <c r="C53" s="247">
        <v>1</v>
      </c>
      <c r="D53" s="247" t="s">
        <v>66</v>
      </c>
      <c r="E53" s="247" t="s">
        <v>66</v>
      </c>
      <c r="F53" s="247" t="s">
        <v>66</v>
      </c>
      <c r="G53" s="247" t="s">
        <v>166</v>
      </c>
      <c r="H53" s="247" t="s">
        <v>288</v>
      </c>
      <c r="I53" s="233" t="s">
        <v>289</v>
      </c>
      <c r="J53" s="233" t="s">
        <v>289</v>
      </c>
      <c r="K53" s="245">
        <f t="shared" ref="K53:L54" si="30">6*O53</f>
        <v>102</v>
      </c>
      <c r="L53" s="256">
        <f t="shared" si="30"/>
        <v>4500000</v>
      </c>
      <c r="M53" s="251">
        <v>17</v>
      </c>
      <c r="N53" s="249">
        <v>1467355</v>
      </c>
      <c r="O53" s="245">
        <v>17</v>
      </c>
      <c r="P53" s="256">
        <v>750000</v>
      </c>
      <c r="Q53" s="245">
        <v>0</v>
      </c>
      <c r="R53" s="256">
        <v>0</v>
      </c>
      <c r="S53" s="245"/>
      <c r="T53" s="240"/>
      <c r="U53" s="245"/>
      <c r="V53" s="252"/>
      <c r="W53" s="245"/>
      <c r="X53" s="252"/>
      <c r="Y53" s="218">
        <f t="shared" si="26"/>
        <v>0</v>
      </c>
      <c r="Z53" s="240">
        <f t="shared" si="26"/>
        <v>0</v>
      </c>
      <c r="AA53" s="225">
        <f t="shared" si="28"/>
        <v>17</v>
      </c>
      <c r="AB53" s="226">
        <f t="shared" si="28"/>
        <v>1467355</v>
      </c>
      <c r="AC53" s="253">
        <f t="shared" si="29"/>
        <v>16.666666666666664</v>
      </c>
      <c r="AD53" s="253">
        <f t="shared" si="29"/>
        <v>32.607888888888887</v>
      </c>
      <c r="AE53" s="243" t="s">
        <v>175</v>
      </c>
    </row>
    <row r="54" spans="1:34" s="244" customFormat="1" ht="44.25" customHeight="1">
      <c r="A54" s="225">
        <v>7</v>
      </c>
      <c r="B54" s="233"/>
      <c r="C54" s="247">
        <v>1</v>
      </c>
      <c r="D54" s="247" t="s">
        <v>66</v>
      </c>
      <c r="E54" s="247" t="s">
        <v>66</v>
      </c>
      <c r="F54" s="247" t="s">
        <v>66</v>
      </c>
      <c r="G54" s="247">
        <v>16</v>
      </c>
      <c r="H54" s="247" t="s">
        <v>290</v>
      </c>
      <c r="I54" s="233" t="s">
        <v>291</v>
      </c>
      <c r="J54" s="233" t="s">
        <v>292</v>
      </c>
      <c r="K54" s="245">
        <f t="shared" si="30"/>
        <v>6</v>
      </c>
      <c r="L54" s="269">
        <f t="shared" si="30"/>
        <v>471216</v>
      </c>
      <c r="M54" s="245">
        <v>1</v>
      </c>
      <c r="N54" s="269">
        <v>0</v>
      </c>
      <c r="O54" s="245">
        <v>1</v>
      </c>
      <c r="P54" s="256">
        <f>78536</f>
        <v>78536</v>
      </c>
      <c r="Q54" s="245">
        <v>0</v>
      </c>
      <c r="R54" s="269">
        <v>0</v>
      </c>
      <c r="S54" s="245"/>
      <c r="T54" s="240"/>
      <c r="U54" s="245"/>
      <c r="V54" s="252"/>
      <c r="W54" s="245"/>
      <c r="X54" s="252"/>
      <c r="Y54" s="218">
        <f t="shared" si="26"/>
        <v>0</v>
      </c>
      <c r="Z54" s="240">
        <f t="shared" si="26"/>
        <v>0</v>
      </c>
      <c r="AA54" s="225">
        <f t="shared" si="28"/>
        <v>1</v>
      </c>
      <c r="AB54" s="226">
        <f t="shared" si="28"/>
        <v>0</v>
      </c>
      <c r="AC54" s="253">
        <f t="shared" si="29"/>
        <v>16.666666666666664</v>
      </c>
      <c r="AD54" s="253">
        <f t="shared" si="29"/>
        <v>0</v>
      </c>
      <c r="AE54" s="243" t="s">
        <v>175</v>
      </c>
    </row>
    <row r="55" spans="1:34" s="244" customFormat="1" ht="56.25" customHeight="1">
      <c r="A55" s="245">
        <v>8</v>
      </c>
      <c r="B55" s="233"/>
      <c r="C55" s="247" t="s">
        <v>66</v>
      </c>
      <c r="D55" s="247" t="s">
        <v>66</v>
      </c>
      <c r="E55" s="238" t="s">
        <v>66</v>
      </c>
      <c r="F55" s="247" t="s">
        <v>66</v>
      </c>
      <c r="G55" s="247">
        <v>16</v>
      </c>
      <c r="H55" s="247" t="s">
        <v>293</v>
      </c>
      <c r="I55" s="270" t="s">
        <v>294</v>
      </c>
      <c r="J55" s="271" t="s">
        <v>295</v>
      </c>
      <c r="K55" s="248">
        <v>6</v>
      </c>
      <c r="L55" s="224">
        <f>(4*700000)+(480000*2)</f>
        <v>3760000</v>
      </c>
      <c r="M55" s="247">
        <v>2</v>
      </c>
      <c r="N55" s="272">
        <f>2*480000</f>
        <v>960000</v>
      </c>
      <c r="O55" s="248">
        <v>1</v>
      </c>
      <c r="P55" s="250">
        <f>O55*700000</f>
        <v>700000</v>
      </c>
      <c r="Q55" s="247">
        <v>1</v>
      </c>
      <c r="R55" s="224">
        <v>119161</v>
      </c>
      <c r="S55" s="245"/>
      <c r="T55" s="240"/>
      <c r="U55" s="245"/>
      <c r="V55" s="252"/>
      <c r="W55" s="245"/>
      <c r="X55" s="252"/>
      <c r="Y55" s="218">
        <f t="shared" si="26"/>
        <v>1</v>
      </c>
      <c r="Z55" s="240">
        <f t="shared" si="26"/>
        <v>119161</v>
      </c>
      <c r="AA55" s="225">
        <f t="shared" si="28"/>
        <v>3</v>
      </c>
      <c r="AB55" s="226">
        <f t="shared" si="28"/>
        <v>1079161</v>
      </c>
      <c r="AC55" s="253">
        <f t="shared" si="29"/>
        <v>50</v>
      </c>
      <c r="AD55" s="253">
        <f t="shared" si="29"/>
        <v>28.701090425531916</v>
      </c>
      <c r="AE55" s="243" t="s">
        <v>175</v>
      </c>
    </row>
    <row r="56" spans="1:34" s="244" customFormat="1" ht="63.75">
      <c r="A56" s="225">
        <v>9</v>
      </c>
      <c r="B56" s="233"/>
      <c r="C56" s="259" t="s">
        <v>146</v>
      </c>
      <c r="D56" s="259" t="s">
        <v>66</v>
      </c>
      <c r="E56" s="234" t="s">
        <v>66</v>
      </c>
      <c r="F56" s="259" t="s">
        <v>66</v>
      </c>
      <c r="G56" s="259" t="s">
        <v>166</v>
      </c>
      <c r="H56" s="259" t="s">
        <v>296</v>
      </c>
      <c r="I56" s="235" t="s">
        <v>297</v>
      </c>
      <c r="J56" s="246" t="s">
        <v>298</v>
      </c>
      <c r="K56" s="248">
        <v>1</v>
      </c>
      <c r="L56" s="224">
        <v>9000000</v>
      </c>
      <c r="M56" s="247">
        <v>1</v>
      </c>
      <c r="N56" s="272">
        <v>532800</v>
      </c>
      <c r="O56" s="248">
        <v>1</v>
      </c>
      <c r="P56" s="250">
        <v>1500000</v>
      </c>
      <c r="Q56" s="247">
        <v>1</v>
      </c>
      <c r="R56" s="224">
        <v>2100</v>
      </c>
      <c r="S56" s="245"/>
      <c r="T56" s="240"/>
      <c r="U56" s="245"/>
      <c r="V56" s="252"/>
      <c r="W56" s="245"/>
      <c r="X56" s="252"/>
      <c r="Y56" s="218">
        <f t="shared" si="26"/>
        <v>1</v>
      </c>
      <c r="Z56" s="240">
        <f t="shared" si="26"/>
        <v>2100</v>
      </c>
      <c r="AA56" s="225">
        <f t="shared" si="28"/>
        <v>2</v>
      </c>
      <c r="AB56" s="226">
        <f t="shared" si="28"/>
        <v>534900</v>
      </c>
      <c r="AC56" s="253">
        <f t="shared" si="29"/>
        <v>200</v>
      </c>
      <c r="AD56" s="253">
        <f t="shared" si="29"/>
        <v>5.9433333333333334</v>
      </c>
      <c r="AE56" s="243" t="s">
        <v>175</v>
      </c>
    </row>
    <row r="57" spans="1:34" s="244" customFormat="1" ht="62.25" customHeight="1">
      <c r="A57" s="225">
        <v>10</v>
      </c>
      <c r="B57" s="233"/>
      <c r="C57" s="247">
        <v>1</v>
      </c>
      <c r="D57" s="247" t="s">
        <v>66</v>
      </c>
      <c r="E57" s="247" t="s">
        <v>66</v>
      </c>
      <c r="F57" s="247" t="s">
        <v>66</v>
      </c>
      <c r="G57" s="247">
        <v>16</v>
      </c>
      <c r="H57" s="247" t="s">
        <v>299</v>
      </c>
      <c r="I57" s="233" t="s">
        <v>300</v>
      </c>
      <c r="J57" s="233" t="s">
        <v>301</v>
      </c>
      <c r="K57" s="245">
        <f t="shared" ref="K57:L57" si="31">6*O57</f>
        <v>24</v>
      </c>
      <c r="L57" s="256">
        <f t="shared" si="31"/>
        <v>3231270</v>
      </c>
      <c r="M57" s="245">
        <v>0</v>
      </c>
      <c r="N57" s="256">
        <v>0</v>
      </c>
      <c r="O57" s="245">
        <v>4</v>
      </c>
      <c r="P57" s="256">
        <f>538545</f>
        <v>538545</v>
      </c>
      <c r="Q57" s="245">
        <v>0</v>
      </c>
      <c r="R57" s="256">
        <v>0</v>
      </c>
      <c r="S57" s="245"/>
      <c r="T57" s="240"/>
      <c r="U57" s="245"/>
      <c r="V57" s="252"/>
      <c r="W57" s="245"/>
      <c r="X57" s="252"/>
      <c r="Y57" s="218">
        <f t="shared" si="26"/>
        <v>0</v>
      </c>
      <c r="Z57" s="240">
        <f t="shared" si="26"/>
        <v>0</v>
      </c>
      <c r="AA57" s="225">
        <f t="shared" si="28"/>
        <v>0</v>
      </c>
      <c r="AB57" s="226">
        <f t="shared" si="28"/>
        <v>0</v>
      </c>
      <c r="AC57" s="253">
        <f t="shared" si="29"/>
        <v>0</v>
      </c>
      <c r="AD57" s="253">
        <f t="shared" si="29"/>
        <v>0</v>
      </c>
      <c r="AE57" s="243" t="s">
        <v>175</v>
      </c>
    </row>
    <row r="58" spans="1:34" s="244" customFormat="1" ht="63" customHeight="1">
      <c r="A58" s="245">
        <v>11</v>
      </c>
      <c r="B58" s="233"/>
      <c r="C58" s="259" t="s">
        <v>146</v>
      </c>
      <c r="D58" s="259" t="s">
        <v>66</v>
      </c>
      <c r="E58" s="234" t="s">
        <v>66</v>
      </c>
      <c r="F58" s="259" t="s">
        <v>66</v>
      </c>
      <c r="G58" s="259" t="s">
        <v>166</v>
      </c>
      <c r="H58" s="259" t="s">
        <v>302</v>
      </c>
      <c r="I58" s="246" t="s">
        <v>303</v>
      </c>
      <c r="J58" s="246" t="s">
        <v>304</v>
      </c>
      <c r="K58" s="248">
        <v>7</v>
      </c>
      <c r="L58" s="224">
        <v>25000000</v>
      </c>
      <c r="M58" s="247">
        <v>5</v>
      </c>
      <c r="N58" s="272">
        <v>6500000</v>
      </c>
      <c r="O58" s="248">
        <v>6</v>
      </c>
      <c r="P58" s="250">
        <v>6338000</v>
      </c>
      <c r="Q58" s="247">
        <v>1</v>
      </c>
      <c r="R58" s="224">
        <v>7220</v>
      </c>
      <c r="S58" s="245"/>
      <c r="T58" s="240"/>
      <c r="U58" s="245"/>
      <c r="V58" s="252"/>
      <c r="W58" s="245"/>
      <c r="X58" s="252"/>
      <c r="Y58" s="218">
        <f t="shared" si="26"/>
        <v>1</v>
      </c>
      <c r="Z58" s="240">
        <f t="shared" si="26"/>
        <v>7220</v>
      </c>
      <c r="AA58" s="236">
        <f t="shared" si="28"/>
        <v>6</v>
      </c>
      <c r="AB58" s="237">
        <f t="shared" si="28"/>
        <v>6507220</v>
      </c>
      <c r="AC58" s="253">
        <f t="shared" si="29"/>
        <v>85.714285714285708</v>
      </c>
      <c r="AD58" s="253">
        <f t="shared" si="29"/>
        <v>26.028879999999997</v>
      </c>
      <c r="AE58" s="233" t="s">
        <v>175</v>
      </c>
    </row>
    <row r="59" spans="1:34" s="244" customFormat="1" ht="57.75" customHeight="1">
      <c r="A59" s="225">
        <v>12</v>
      </c>
      <c r="B59" s="233"/>
      <c r="C59" s="234" t="s">
        <v>146</v>
      </c>
      <c r="D59" s="234" t="s">
        <v>66</v>
      </c>
      <c r="E59" s="234" t="s">
        <v>66</v>
      </c>
      <c r="F59" s="234" t="s">
        <v>66</v>
      </c>
      <c r="G59" s="234" t="s">
        <v>166</v>
      </c>
      <c r="H59" s="234" t="s">
        <v>305</v>
      </c>
      <c r="I59" s="233" t="s">
        <v>306</v>
      </c>
      <c r="J59" s="233" t="s">
        <v>307</v>
      </c>
      <c r="K59" s="245">
        <v>1</v>
      </c>
      <c r="L59" s="256">
        <f>4*175000</f>
        <v>700000</v>
      </c>
      <c r="M59" s="245">
        <v>0</v>
      </c>
      <c r="N59" s="256">
        <v>0</v>
      </c>
      <c r="O59" s="245">
        <v>1</v>
      </c>
      <c r="P59" s="256">
        <v>158000</v>
      </c>
      <c r="Q59" s="245">
        <v>1</v>
      </c>
      <c r="R59" s="256">
        <v>0</v>
      </c>
      <c r="S59" s="245"/>
      <c r="T59" s="240"/>
      <c r="U59" s="245"/>
      <c r="V59" s="252"/>
      <c r="W59" s="245"/>
      <c r="X59" s="252"/>
      <c r="Y59" s="218">
        <f t="shared" si="26"/>
        <v>1</v>
      </c>
      <c r="Z59" s="240">
        <f t="shared" si="26"/>
        <v>0</v>
      </c>
      <c r="AA59" s="225">
        <f t="shared" si="28"/>
        <v>1</v>
      </c>
      <c r="AB59" s="226">
        <f t="shared" si="28"/>
        <v>0</v>
      </c>
      <c r="AC59" s="253">
        <f t="shared" si="29"/>
        <v>100</v>
      </c>
      <c r="AD59" s="253">
        <f t="shared" si="29"/>
        <v>0</v>
      </c>
      <c r="AE59" s="243" t="s">
        <v>175</v>
      </c>
    </row>
    <row r="60" spans="1:34" s="244" customFormat="1" ht="44.25" customHeight="1">
      <c r="A60" s="245">
        <v>13</v>
      </c>
      <c r="B60" s="233"/>
      <c r="C60" s="247">
        <v>1</v>
      </c>
      <c r="D60" s="247" t="s">
        <v>66</v>
      </c>
      <c r="E60" s="247" t="s">
        <v>66</v>
      </c>
      <c r="F60" s="247" t="s">
        <v>66</v>
      </c>
      <c r="G60" s="247" t="s">
        <v>166</v>
      </c>
      <c r="H60" s="247" t="s">
        <v>167</v>
      </c>
      <c r="I60" s="233" t="s">
        <v>308</v>
      </c>
      <c r="J60" s="233" t="s">
        <v>309</v>
      </c>
      <c r="K60" s="245">
        <f t="shared" ref="K60:L61" si="32">6*O60</f>
        <v>18</v>
      </c>
      <c r="L60" s="256">
        <f t="shared" si="32"/>
        <v>750000</v>
      </c>
      <c r="M60" s="245">
        <v>0</v>
      </c>
      <c r="N60" s="256">
        <v>0</v>
      </c>
      <c r="O60" s="245">
        <v>3</v>
      </c>
      <c r="P60" s="256">
        <f>125000</f>
        <v>125000</v>
      </c>
      <c r="Q60" s="245">
        <v>0</v>
      </c>
      <c r="R60" s="256">
        <v>0</v>
      </c>
      <c r="S60" s="245"/>
      <c r="T60" s="240"/>
      <c r="U60" s="245"/>
      <c r="V60" s="252"/>
      <c r="W60" s="245"/>
      <c r="X60" s="252"/>
      <c r="Y60" s="218">
        <f t="shared" si="26"/>
        <v>0</v>
      </c>
      <c r="Z60" s="240">
        <f t="shared" si="26"/>
        <v>0</v>
      </c>
      <c r="AA60" s="225">
        <f t="shared" si="28"/>
        <v>0</v>
      </c>
      <c r="AB60" s="226">
        <f t="shared" si="28"/>
        <v>0</v>
      </c>
      <c r="AC60" s="253">
        <f t="shared" si="29"/>
        <v>0</v>
      </c>
      <c r="AD60" s="253">
        <f t="shared" si="29"/>
        <v>0</v>
      </c>
      <c r="AE60" s="243" t="s">
        <v>175</v>
      </c>
      <c r="AH60" s="244" t="s">
        <v>310</v>
      </c>
    </row>
    <row r="61" spans="1:34" s="244" customFormat="1" ht="45" customHeight="1">
      <c r="A61" s="225">
        <v>14</v>
      </c>
      <c r="B61" s="233"/>
      <c r="C61" s="247">
        <v>1</v>
      </c>
      <c r="D61" s="247" t="s">
        <v>66</v>
      </c>
      <c r="E61" s="247" t="s">
        <v>66</v>
      </c>
      <c r="F61" s="247" t="s">
        <v>66</v>
      </c>
      <c r="G61" s="247" t="s">
        <v>166</v>
      </c>
      <c r="H61" s="247" t="s">
        <v>68</v>
      </c>
      <c r="I61" s="233" t="s">
        <v>311</v>
      </c>
      <c r="J61" s="233" t="s">
        <v>312</v>
      </c>
      <c r="K61" s="245">
        <f t="shared" si="32"/>
        <v>6</v>
      </c>
      <c r="L61" s="256">
        <f t="shared" si="32"/>
        <v>1080000</v>
      </c>
      <c r="M61" s="245">
        <v>0</v>
      </c>
      <c r="N61" s="256">
        <v>0</v>
      </c>
      <c r="O61" s="245">
        <v>1</v>
      </c>
      <c r="P61" s="256">
        <v>180000</v>
      </c>
      <c r="Q61" s="245">
        <v>0</v>
      </c>
      <c r="R61" s="256">
        <v>0</v>
      </c>
      <c r="S61" s="245"/>
      <c r="T61" s="240"/>
      <c r="U61" s="245"/>
      <c r="V61" s="252"/>
      <c r="W61" s="245"/>
      <c r="X61" s="252"/>
      <c r="Y61" s="218">
        <f t="shared" si="26"/>
        <v>0</v>
      </c>
      <c r="Z61" s="240">
        <f t="shared" si="26"/>
        <v>0</v>
      </c>
      <c r="AA61" s="225">
        <f t="shared" si="28"/>
        <v>0</v>
      </c>
      <c r="AB61" s="226">
        <f t="shared" si="28"/>
        <v>0</v>
      </c>
      <c r="AC61" s="253">
        <f t="shared" si="29"/>
        <v>0</v>
      </c>
      <c r="AD61" s="253">
        <f t="shared" si="29"/>
        <v>0</v>
      </c>
      <c r="AE61" s="243" t="s">
        <v>175</v>
      </c>
    </row>
    <row r="62" spans="1:34" s="244" customFormat="1" ht="55.5" customHeight="1">
      <c r="A62" s="245">
        <v>15</v>
      </c>
      <c r="B62" s="233"/>
      <c r="C62" s="247" t="s">
        <v>66</v>
      </c>
      <c r="D62" s="247" t="s">
        <v>66</v>
      </c>
      <c r="E62" s="238" t="s">
        <v>66</v>
      </c>
      <c r="F62" s="247" t="s">
        <v>66</v>
      </c>
      <c r="G62" s="247">
        <v>16</v>
      </c>
      <c r="H62" s="247" t="s">
        <v>313</v>
      </c>
      <c r="I62" s="273" t="s">
        <v>314</v>
      </c>
      <c r="J62" s="271" t="s">
        <v>315</v>
      </c>
      <c r="K62" s="248">
        <v>6</v>
      </c>
      <c r="L62" s="224">
        <f>6*229855</f>
        <v>1379130</v>
      </c>
      <c r="M62" s="247">
        <v>2</v>
      </c>
      <c r="N62" s="272">
        <f>M62*229855</f>
        <v>459710</v>
      </c>
      <c r="O62" s="248">
        <v>1</v>
      </c>
      <c r="P62" s="250">
        <f>O62*229855</f>
        <v>229855</v>
      </c>
      <c r="Q62" s="247">
        <v>0</v>
      </c>
      <c r="R62" s="224"/>
      <c r="S62" s="245"/>
      <c r="T62" s="240"/>
      <c r="U62" s="245"/>
      <c r="V62" s="252"/>
      <c r="W62" s="245"/>
      <c r="X62" s="252"/>
      <c r="Y62" s="218">
        <f t="shared" si="26"/>
        <v>0</v>
      </c>
      <c r="Z62" s="240">
        <f t="shared" si="26"/>
        <v>0</v>
      </c>
      <c r="AA62" s="225">
        <f t="shared" si="28"/>
        <v>2</v>
      </c>
      <c r="AB62" s="226">
        <f t="shared" si="28"/>
        <v>459710</v>
      </c>
      <c r="AC62" s="253">
        <f t="shared" si="29"/>
        <v>33.333333333333329</v>
      </c>
      <c r="AD62" s="253">
        <f t="shared" si="29"/>
        <v>33.333333333333329</v>
      </c>
      <c r="AE62" s="243" t="s">
        <v>175</v>
      </c>
    </row>
    <row r="63" spans="1:34" s="244" customFormat="1" ht="33" customHeight="1">
      <c r="A63" s="225">
        <v>16</v>
      </c>
      <c r="B63" s="233"/>
      <c r="C63" s="247">
        <v>1</v>
      </c>
      <c r="D63" s="247" t="s">
        <v>66</v>
      </c>
      <c r="E63" s="238" t="s">
        <v>66</v>
      </c>
      <c r="F63" s="247" t="s">
        <v>66</v>
      </c>
      <c r="G63" s="247" t="s">
        <v>166</v>
      </c>
      <c r="H63" s="247" t="s">
        <v>316</v>
      </c>
      <c r="I63" s="233" t="s">
        <v>317</v>
      </c>
      <c r="J63" s="246" t="s">
        <v>318</v>
      </c>
      <c r="K63" s="248">
        <v>6</v>
      </c>
      <c r="L63" s="224">
        <f>(P63*6)+(P63*20%)</f>
        <v>1954202.8</v>
      </c>
      <c r="M63" s="248">
        <v>2</v>
      </c>
      <c r="N63" s="224">
        <f>P63*2</f>
        <v>630388</v>
      </c>
      <c r="O63" s="248">
        <v>1</v>
      </c>
      <c r="P63" s="224">
        <v>315194</v>
      </c>
      <c r="Q63" s="247">
        <v>0</v>
      </c>
      <c r="R63" s="224">
        <v>0</v>
      </c>
      <c r="S63" s="245"/>
      <c r="T63" s="240"/>
      <c r="U63" s="245"/>
      <c r="V63" s="252"/>
      <c r="W63" s="245"/>
      <c r="X63" s="252"/>
      <c r="Y63" s="218">
        <f t="shared" si="26"/>
        <v>0</v>
      </c>
      <c r="Z63" s="240">
        <f t="shared" si="26"/>
        <v>0</v>
      </c>
      <c r="AA63" s="225">
        <f t="shared" si="28"/>
        <v>2</v>
      </c>
      <c r="AB63" s="226">
        <f t="shared" si="28"/>
        <v>630388</v>
      </c>
      <c r="AC63" s="253">
        <f t="shared" si="29"/>
        <v>33.333333333333329</v>
      </c>
      <c r="AD63" s="253">
        <f t="shared" si="29"/>
        <v>32.258064516129032</v>
      </c>
      <c r="AE63" s="243" t="s">
        <v>175</v>
      </c>
    </row>
    <row r="64" spans="1:34" s="244" customFormat="1" ht="38.25" customHeight="1">
      <c r="A64" s="245">
        <v>17</v>
      </c>
      <c r="B64" s="233"/>
      <c r="C64" s="247">
        <v>1</v>
      </c>
      <c r="D64" s="247" t="s">
        <v>66</v>
      </c>
      <c r="E64" s="238" t="s">
        <v>66</v>
      </c>
      <c r="F64" s="247" t="s">
        <v>66</v>
      </c>
      <c r="G64" s="247" t="s">
        <v>166</v>
      </c>
      <c r="H64" s="247">
        <v>76</v>
      </c>
      <c r="I64" s="235" t="s">
        <v>319</v>
      </c>
      <c r="J64" s="233" t="s">
        <v>320</v>
      </c>
      <c r="K64" s="245">
        <v>75</v>
      </c>
      <c r="L64" s="256">
        <v>390388</v>
      </c>
      <c r="M64" s="245">
        <v>24</v>
      </c>
      <c r="N64" s="256">
        <v>149963</v>
      </c>
      <c r="O64" s="245">
        <v>25</v>
      </c>
      <c r="P64" s="256">
        <v>130000</v>
      </c>
      <c r="Q64" s="245">
        <v>0</v>
      </c>
      <c r="R64" s="256">
        <v>0</v>
      </c>
      <c r="S64" s="245"/>
      <c r="T64" s="240"/>
      <c r="U64" s="245"/>
      <c r="V64" s="252"/>
      <c r="W64" s="245"/>
      <c r="X64" s="252"/>
      <c r="Y64" s="218">
        <f t="shared" si="26"/>
        <v>0</v>
      </c>
      <c r="Z64" s="240">
        <f t="shared" si="26"/>
        <v>0</v>
      </c>
      <c r="AA64" s="225">
        <f t="shared" si="28"/>
        <v>24</v>
      </c>
      <c r="AB64" s="226">
        <f t="shared" si="28"/>
        <v>149963</v>
      </c>
      <c r="AC64" s="253">
        <f t="shared" si="29"/>
        <v>32</v>
      </c>
      <c r="AD64" s="253">
        <f t="shared" si="29"/>
        <v>38.413834441632424</v>
      </c>
      <c r="AE64" s="243" t="s">
        <v>175</v>
      </c>
    </row>
    <row r="65" spans="1:34" s="244" customFormat="1" ht="49.5" customHeight="1">
      <c r="A65" s="225">
        <v>18</v>
      </c>
      <c r="B65" s="233"/>
      <c r="C65" s="247">
        <v>1</v>
      </c>
      <c r="D65" s="247" t="s">
        <v>66</v>
      </c>
      <c r="E65" s="238" t="s">
        <v>66</v>
      </c>
      <c r="F65" s="247" t="s">
        <v>66</v>
      </c>
      <c r="G65" s="247" t="s">
        <v>166</v>
      </c>
      <c r="H65" s="247" t="s">
        <v>321</v>
      </c>
      <c r="I65" s="233" t="s">
        <v>322</v>
      </c>
      <c r="J65" s="246" t="s">
        <v>323</v>
      </c>
      <c r="K65" s="248">
        <v>1</v>
      </c>
      <c r="L65" s="224">
        <f>(P65*20%)+P65</f>
        <v>1067059.2</v>
      </c>
      <c r="M65" s="247">
        <v>1</v>
      </c>
      <c r="N65" s="274">
        <v>889216</v>
      </c>
      <c r="O65" s="248">
        <v>1</v>
      </c>
      <c r="P65" s="250">
        <f>N65</f>
        <v>889216</v>
      </c>
      <c r="Q65" s="247">
        <v>0</v>
      </c>
      <c r="R65" s="224">
        <v>40460</v>
      </c>
      <c r="S65" s="245"/>
      <c r="T65" s="240"/>
      <c r="U65" s="245"/>
      <c r="V65" s="252"/>
      <c r="W65" s="245"/>
      <c r="X65" s="252"/>
      <c r="Y65" s="218">
        <f t="shared" si="26"/>
        <v>0</v>
      </c>
      <c r="Z65" s="240">
        <f t="shared" si="26"/>
        <v>40460</v>
      </c>
      <c r="AA65" s="225">
        <f t="shared" ref="AA65:AB72" si="33">M65+Y65</f>
        <v>1</v>
      </c>
      <c r="AB65" s="226">
        <f t="shared" si="33"/>
        <v>929676</v>
      </c>
      <c r="AC65" s="253">
        <f t="shared" si="29"/>
        <v>100</v>
      </c>
      <c r="AD65" s="253">
        <f t="shared" si="29"/>
        <v>87.125062976824523</v>
      </c>
      <c r="AE65" s="243" t="s">
        <v>175</v>
      </c>
    </row>
    <row r="66" spans="1:34" s="244" customFormat="1" ht="39" customHeight="1">
      <c r="A66" s="245">
        <v>19</v>
      </c>
      <c r="B66" s="233"/>
      <c r="C66" s="247">
        <v>1</v>
      </c>
      <c r="D66" s="247" t="s">
        <v>66</v>
      </c>
      <c r="E66" s="238" t="s">
        <v>66</v>
      </c>
      <c r="F66" s="247" t="s">
        <v>66</v>
      </c>
      <c r="G66" s="247" t="s">
        <v>166</v>
      </c>
      <c r="H66" s="247" t="s">
        <v>324</v>
      </c>
      <c r="I66" s="233" t="s">
        <v>325</v>
      </c>
      <c r="J66" s="246" t="s">
        <v>326</v>
      </c>
      <c r="K66" s="248">
        <v>6</v>
      </c>
      <c r="L66" s="224">
        <f>(P66*6)+(P66*20%)</f>
        <v>496000</v>
      </c>
      <c r="M66" s="248">
        <v>2</v>
      </c>
      <c r="N66" s="275">
        <f>2*P66</f>
        <v>160000</v>
      </c>
      <c r="O66" s="248">
        <v>1</v>
      </c>
      <c r="P66" s="250">
        <v>80000</v>
      </c>
      <c r="Q66" s="247">
        <v>1</v>
      </c>
      <c r="R66" s="224">
        <v>35453</v>
      </c>
      <c r="S66" s="245"/>
      <c r="T66" s="240"/>
      <c r="U66" s="245"/>
      <c r="V66" s="252"/>
      <c r="W66" s="245"/>
      <c r="X66" s="252"/>
      <c r="Y66" s="218">
        <f t="shared" si="26"/>
        <v>1</v>
      </c>
      <c r="Z66" s="240">
        <f t="shared" si="26"/>
        <v>35453</v>
      </c>
      <c r="AA66" s="225">
        <f t="shared" si="33"/>
        <v>3</v>
      </c>
      <c r="AB66" s="226">
        <f t="shared" si="33"/>
        <v>195453</v>
      </c>
      <c r="AC66" s="253">
        <f t="shared" ref="AC66:AD72" si="34">(AA66/K66)*100</f>
        <v>50</v>
      </c>
      <c r="AD66" s="253">
        <f t="shared" si="34"/>
        <v>39.405846774193549</v>
      </c>
      <c r="AE66" s="243" t="s">
        <v>175</v>
      </c>
    </row>
    <row r="67" spans="1:34" s="244" customFormat="1" ht="40.5" customHeight="1">
      <c r="A67" s="225">
        <v>20</v>
      </c>
      <c r="B67" s="233"/>
      <c r="C67" s="238" t="s">
        <v>66</v>
      </c>
      <c r="D67" s="238" t="s">
        <v>66</v>
      </c>
      <c r="E67" s="238" t="s">
        <v>66</v>
      </c>
      <c r="F67" s="238" t="s">
        <v>66</v>
      </c>
      <c r="G67" s="238" t="s">
        <v>166</v>
      </c>
      <c r="H67" s="247" t="s">
        <v>327</v>
      </c>
      <c r="I67" s="246" t="s">
        <v>328</v>
      </c>
      <c r="J67" s="233" t="s">
        <v>329</v>
      </c>
      <c r="K67" s="248">
        <f>4*4</f>
        <v>16</v>
      </c>
      <c r="L67" s="276">
        <f>4*82400</f>
        <v>329600</v>
      </c>
      <c r="M67" s="247">
        <v>0</v>
      </c>
      <c r="N67" s="277">
        <v>0</v>
      </c>
      <c r="O67" s="248">
        <v>4</v>
      </c>
      <c r="P67" s="268">
        <v>82400</v>
      </c>
      <c r="Q67" s="247">
        <v>1</v>
      </c>
      <c r="R67" s="278">
        <v>14017</v>
      </c>
      <c r="S67" s="279"/>
      <c r="T67" s="280">
        <f>SUM(T68:T68)</f>
        <v>0</v>
      </c>
      <c r="U67" s="279"/>
      <c r="V67" s="279"/>
      <c r="W67" s="279"/>
      <c r="X67" s="279"/>
      <c r="Y67" s="218">
        <f t="shared" si="26"/>
        <v>1</v>
      </c>
      <c r="Z67" s="276">
        <f>R67+T67+V67+X67</f>
        <v>14017</v>
      </c>
      <c r="AA67" s="225">
        <f t="shared" si="33"/>
        <v>1</v>
      </c>
      <c r="AB67" s="226">
        <f t="shared" si="33"/>
        <v>14017</v>
      </c>
      <c r="AC67" s="253">
        <f t="shared" si="34"/>
        <v>6.25</v>
      </c>
      <c r="AD67" s="253">
        <f t="shared" si="34"/>
        <v>4.2527305825242712</v>
      </c>
      <c r="AE67" s="243" t="s">
        <v>175</v>
      </c>
    </row>
    <row r="68" spans="1:34" s="244" customFormat="1" ht="44.25" customHeight="1">
      <c r="A68" s="245">
        <v>21</v>
      </c>
      <c r="B68" s="233"/>
      <c r="C68" s="238" t="s">
        <v>66</v>
      </c>
      <c r="D68" s="238" t="s">
        <v>66</v>
      </c>
      <c r="E68" s="238" t="s">
        <v>66</v>
      </c>
      <c r="F68" s="238" t="s">
        <v>66</v>
      </c>
      <c r="G68" s="238" t="s">
        <v>166</v>
      </c>
      <c r="H68" s="247" t="s">
        <v>68</v>
      </c>
      <c r="I68" s="246" t="s">
        <v>330</v>
      </c>
      <c r="J68" s="246" t="s">
        <v>331</v>
      </c>
      <c r="K68" s="248">
        <f>5*944</f>
        <v>4720</v>
      </c>
      <c r="L68" s="224">
        <f>(4*184258)+199978</f>
        <v>937010</v>
      </c>
      <c r="M68" s="251">
        <v>944</v>
      </c>
      <c r="N68" s="267">
        <v>199978</v>
      </c>
      <c r="O68" s="248">
        <v>944</v>
      </c>
      <c r="P68" s="250">
        <v>184258</v>
      </c>
      <c r="Q68" s="247">
        <v>465</v>
      </c>
      <c r="R68" s="224">
        <f>9252+49149+34410</f>
        <v>92811</v>
      </c>
      <c r="S68" s="245"/>
      <c r="T68" s="240"/>
      <c r="U68" s="245"/>
      <c r="V68" s="252"/>
      <c r="W68" s="245"/>
      <c r="X68" s="252"/>
      <c r="Y68" s="218">
        <f t="shared" si="26"/>
        <v>465</v>
      </c>
      <c r="Z68" s="240">
        <f t="shared" si="26"/>
        <v>92811</v>
      </c>
      <c r="AA68" s="225">
        <f t="shared" si="33"/>
        <v>1409</v>
      </c>
      <c r="AB68" s="226">
        <f t="shared" si="33"/>
        <v>292789</v>
      </c>
      <c r="AC68" s="253">
        <f t="shared" si="34"/>
        <v>29.851694915254239</v>
      </c>
      <c r="AD68" s="253">
        <f t="shared" si="34"/>
        <v>31.247158514850426</v>
      </c>
      <c r="AE68" s="243" t="s">
        <v>175</v>
      </c>
      <c r="AH68" s="255" t="s">
        <v>332</v>
      </c>
    </row>
    <row r="69" spans="1:34" s="244" customFormat="1" ht="36.75" customHeight="1">
      <c r="A69" s="225">
        <v>22</v>
      </c>
      <c r="B69" s="233"/>
      <c r="C69" s="247">
        <v>1</v>
      </c>
      <c r="D69" s="247" t="s">
        <v>66</v>
      </c>
      <c r="E69" s="238" t="s">
        <v>66</v>
      </c>
      <c r="F69" s="247" t="s">
        <v>66</v>
      </c>
      <c r="G69" s="247" t="s">
        <v>166</v>
      </c>
      <c r="H69" s="247" t="s">
        <v>333</v>
      </c>
      <c r="I69" s="233" t="s">
        <v>334</v>
      </c>
      <c r="J69" s="233" t="s">
        <v>335</v>
      </c>
      <c r="K69" s="248">
        <v>6</v>
      </c>
      <c r="L69" s="224">
        <f>(P69*6)+(P69*20%)</f>
        <v>849400</v>
      </c>
      <c r="M69" s="248">
        <v>2</v>
      </c>
      <c r="N69" s="256">
        <f>P69*2</f>
        <v>274000</v>
      </c>
      <c r="O69" s="248">
        <v>1</v>
      </c>
      <c r="P69" s="256">
        <v>137000</v>
      </c>
      <c r="Q69" s="245">
        <v>0</v>
      </c>
      <c r="R69" s="256">
        <v>0</v>
      </c>
      <c r="S69" s="245"/>
      <c r="T69" s="240"/>
      <c r="U69" s="245"/>
      <c r="V69" s="252"/>
      <c r="W69" s="245"/>
      <c r="X69" s="252"/>
      <c r="Y69" s="218">
        <f t="shared" si="26"/>
        <v>0</v>
      </c>
      <c r="Z69" s="240">
        <f t="shared" si="26"/>
        <v>0</v>
      </c>
      <c r="AA69" s="225">
        <f t="shared" si="33"/>
        <v>2</v>
      </c>
      <c r="AB69" s="226">
        <f t="shared" si="33"/>
        <v>274000</v>
      </c>
      <c r="AC69" s="253">
        <f t="shared" si="34"/>
        <v>33.333333333333329</v>
      </c>
      <c r="AD69" s="253">
        <f t="shared" si="34"/>
        <v>32.258064516129032</v>
      </c>
      <c r="AE69" s="243" t="s">
        <v>175</v>
      </c>
    </row>
    <row r="70" spans="1:34" s="244" customFormat="1" ht="39" customHeight="1">
      <c r="A70" s="245">
        <v>23</v>
      </c>
      <c r="B70" s="233"/>
      <c r="C70" s="247">
        <v>1</v>
      </c>
      <c r="D70" s="247" t="s">
        <v>66</v>
      </c>
      <c r="E70" s="247" t="s">
        <v>66</v>
      </c>
      <c r="F70" s="247" t="s">
        <v>66</v>
      </c>
      <c r="G70" s="247">
        <v>16</v>
      </c>
      <c r="H70" s="247" t="s">
        <v>336</v>
      </c>
      <c r="I70" s="233" t="s">
        <v>337</v>
      </c>
      <c r="J70" s="233" t="s">
        <v>337</v>
      </c>
      <c r="K70" s="245">
        <f t="shared" ref="K70:L72" si="35">6*O70</f>
        <v>18</v>
      </c>
      <c r="L70" s="256">
        <f t="shared" si="35"/>
        <v>3240000</v>
      </c>
      <c r="M70" s="245">
        <v>2</v>
      </c>
      <c r="N70" s="256">
        <v>300000</v>
      </c>
      <c r="O70" s="245">
        <v>3</v>
      </c>
      <c r="P70" s="256">
        <f>540000</f>
        <v>540000</v>
      </c>
      <c r="Q70" s="245">
        <v>1</v>
      </c>
      <c r="R70" s="256">
        <f>12600</f>
        <v>12600</v>
      </c>
      <c r="S70" s="245"/>
      <c r="T70" s="240"/>
      <c r="U70" s="245"/>
      <c r="V70" s="252"/>
      <c r="W70" s="245"/>
      <c r="X70" s="252"/>
      <c r="Y70" s="218">
        <f t="shared" si="26"/>
        <v>1</v>
      </c>
      <c r="Z70" s="240">
        <f t="shared" si="26"/>
        <v>12600</v>
      </c>
      <c r="AA70" s="236">
        <f t="shared" si="33"/>
        <v>3</v>
      </c>
      <c r="AB70" s="237">
        <f t="shared" si="33"/>
        <v>312600</v>
      </c>
      <c r="AC70" s="253">
        <f t="shared" si="34"/>
        <v>16.666666666666664</v>
      </c>
      <c r="AD70" s="253">
        <f t="shared" si="34"/>
        <v>9.6481481481481488</v>
      </c>
      <c r="AE70" s="233" t="s">
        <v>175</v>
      </c>
      <c r="AF70" s="281"/>
      <c r="AG70" s="281"/>
    </row>
    <row r="71" spans="1:34" s="244" customFormat="1" ht="36.75" customHeight="1">
      <c r="A71" s="225">
        <v>24</v>
      </c>
      <c r="B71" s="233"/>
      <c r="C71" s="247">
        <v>1</v>
      </c>
      <c r="D71" s="247" t="s">
        <v>66</v>
      </c>
      <c r="E71" s="247" t="s">
        <v>66</v>
      </c>
      <c r="F71" s="247" t="s">
        <v>66</v>
      </c>
      <c r="G71" s="247" t="s">
        <v>166</v>
      </c>
      <c r="H71" s="247" t="s">
        <v>338</v>
      </c>
      <c r="I71" s="233" t="s">
        <v>339</v>
      </c>
      <c r="J71" s="233" t="s">
        <v>339</v>
      </c>
      <c r="K71" s="245">
        <f t="shared" si="35"/>
        <v>138</v>
      </c>
      <c r="L71" s="256">
        <f t="shared" si="35"/>
        <v>4500000</v>
      </c>
      <c r="M71" s="282">
        <v>20</v>
      </c>
      <c r="N71" s="283">
        <v>1726299</v>
      </c>
      <c r="O71" s="245">
        <v>23</v>
      </c>
      <c r="P71" s="256">
        <v>750000</v>
      </c>
      <c r="Q71" s="245">
        <v>0</v>
      </c>
      <c r="R71" s="256">
        <v>0</v>
      </c>
      <c r="S71" s="245"/>
      <c r="T71" s="250"/>
      <c r="U71" s="251"/>
      <c r="V71" s="261"/>
      <c r="W71" s="251"/>
      <c r="X71" s="261"/>
      <c r="Y71" s="262">
        <f t="shared" si="26"/>
        <v>0</v>
      </c>
      <c r="Z71" s="250">
        <f t="shared" si="26"/>
        <v>0</v>
      </c>
      <c r="AA71" s="263">
        <f t="shared" si="33"/>
        <v>20</v>
      </c>
      <c r="AB71" s="264">
        <f t="shared" si="33"/>
        <v>1726299</v>
      </c>
      <c r="AC71" s="265">
        <f t="shared" si="34"/>
        <v>14.492753623188406</v>
      </c>
      <c r="AD71" s="265">
        <f t="shared" si="34"/>
        <v>38.362200000000001</v>
      </c>
      <c r="AE71" s="266" t="s">
        <v>175</v>
      </c>
    </row>
    <row r="72" spans="1:34" s="244" customFormat="1" ht="26.25" customHeight="1">
      <c r="A72" s="225">
        <v>25</v>
      </c>
      <c r="B72" s="233"/>
      <c r="C72" s="247">
        <v>1</v>
      </c>
      <c r="D72" s="247" t="s">
        <v>66</v>
      </c>
      <c r="E72" s="247" t="s">
        <v>66</v>
      </c>
      <c r="F72" s="247" t="s">
        <v>66</v>
      </c>
      <c r="G72" s="247">
        <v>16</v>
      </c>
      <c r="H72" s="247" t="s">
        <v>340</v>
      </c>
      <c r="I72" s="233" t="s">
        <v>341</v>
      </c>
      <c r="J72" s="233" t="s">
        <v>342</v>
      </c>
      <c r="K72" s="245">
        <f t="shared" si="35"/>
        <v>48</v>
      </c>
      <c r="L72" s="256">
        <f t="shared" si="35"/>
        <v>5646012</v>
      </c>
      <c r="M72" s="245">
        <v>5</v>
      </c>
      <c r="N72" s="256">
        <f>150000+150000+125000+175000+200000</f>
        <v>800000</v>
      </c>
      <c r="O72" s="245">
        <v>8</v>
      </c>
      <c r="P72" s="256">
        <f>941002</f>
        <v>941002</v>
      </c>
      <c r="Q72" s="245">
        <v>1</v>
      </c>
      <c r="R72" s="256">
        <f>25350</f>
        <v>25350</v>
      </c>
      <c r="S72" s="245"/>
      <c r="T72" s="240"/>
      <c r="U72" s="245"/>
      <c r="V72" s="252"/>
      <c r="W72" s="245"/>
      <c r="X72" s="252"/>
      <c r="Y72" s="218">
        <f t="shared" si="26"/>
        <v>1</v>
      </c>
      <c r="Z72" s="240">
        <f t="shared" si="26"/>
        <v>25350</v>
      </c>
      <c r="AA72" s="225">
        <f t="shared" si="33"/>
        <v>6</v>
      </c>
      <c r="AB72" s="226">
        <f t="shared" si="33"/>
        <v>825350</v>
      </c>
      <c r="AC72" s="253">
        <f t="shared" si="34"/>
        <v>12.5</v>
      </c>
      <c r="AD72" s="253">
        <f t="shared" si="34"/>
        <v>14.618282780837163</v>
      </c>
      <c r="AE72" s="243" t="s">
        <v>175</v>
      </c>
    </row>
    <row r="73" spans="1:34" s="244" customFormat="1" ht="10.5" customHeight="1">
      <c r="A73" s="2343"/>
      <c r="B73" s="2344"/>
      <c r="C73" s="2344"/>
      <c r="D73" s="2344"/>
      <c r="E73" s="2344"/>
      <c r="F73" s="2344"/>
      <c r="G73" s="2344"/>
      <c r="H73" s="2344"/>
      <c r="I73" s="2344"/>
      <c r="J73" s="2344"/>
      <c r="K73" s="2344"/>
      <c r="L73" s="2344"/>
      <c r="M73" s="2344"/>
      <c r="N73" s="2344"/>
      <c r="O73" s="2344"/>
      <c r="P73" s="2344"/>
      <c r="Q73" s="2344"/>
      <c r="R73" s="2344"/>
      <c r="S73" s="2344"/>
      <c r="T73" s="2344"/>
      <c r="U73" s="2344"/>
      <c r="V73" s="2344"/>
      <c r="W73" s="2344"/>
      <c r="X73" s="2344"/>
      <c r="Y73" s="2344"/>
      <c r="Z73" s="2344"/>
      <c r="AA73" s="2344"/>
      <c r="AB73" s="2344"/>
      <c r="AC73" s="2344"/>
      <c r="AD73" s="2344"/>
      <c r="AE73" s="2345"/>
    </row>
    <row r="74" spans="1:34" s="353" customFormat="1" ht="50.25" customHeight="1">
      <c r="A74" s="341">
        <v>5</v>
      </c>
      <c r="B74" s="344"/>
      <c r="C74" s="367" t="s">
        <v>66</v>
      </c>
      <c r="D74" s="368" t="s">
        <v>146</v>
      </c>
      <c r="E74" s="367" t="s">
        <v>66</v>
      </c>
      <c r="F74" s="367" t="s">
        <v>196</v>
      </c>
      <c r="G74" s="367" t="s">
        <v>155</v>
      </c>
      <c r="H74" s="341"/>
      <c r="I74" s="344" t="s">
        <v>343</v>
      </c>
      <c r="J74" s="344" t="s">
        <v>344</v>
      </c>
      <c r="K74" s="369">
        <f>78.7-62</f>
        <v>16.700000000000003</v>
      </c>
      <c r="L74" s="369">
        <f>SUM(L75:L78)</f>
        <v>2905899</v>
      </c>
      <c r="M74" s="369">
        <f>3+6</f>
        <v>9</v>
      </c>
      <c r="N74" s="369">
        <f t="shared" ref="N74:P74" si="36">SUM(N75:N78)</f>
        <v>588634</v>
      </c>
      <c r="O74" s="369">
        <f>71-62</f>
        <v>9</v>
      </c>
      <c r="P74" s="370">
        <f t="shared" si="36"/>
        <v>522875</v>
      </c>
      <c r="Q74" s="369">
        <f>9/4</f>
        <v>2.25</v>
      </c>
      <c r="R74" s="369">
        <f>SUM(R75:R78)</f>
        <v>74360</v>
      </c>
      <c r="S74" s="371"/>
      <c r="T74" s="372"/>
      <c r="U74" s="371"/>
      <c r="V74" s="372"/>
      <c r="W74" s="371"/>
      <c r="X74" s="372"/>
      <c r="Y74" s="351">
        <f>Q74+S74+U74+W74</f>
        <v>2.25</v>
      </c>
      <c r="Z74" s="373">
        <f>SUM(Z75:Z78)</f>
        <v>74360</v>
      </c>
      <c r="AA74" s="341">
        <f>M74+Y74</f>
        <v>11.25</v>
      </c>
      <c r="AB74" s="374">
        <f>SUM(AB75:AB78)</f>
        <v>662994</v>
      </c>
      <c r="AC74" s="352">
        <f>(AA74/K74)*100</f>
        <v>67.365269461077844</v>
      </c>
      <c r="AD74" s="352">
        <f t="shared" ref="AD74:AD78" si="37">(AB74/L74)*100</f>
        <v>22.815452292044561</v>
      </c>
      <c r="AE74" s="375" t="s">
        <v>175</v>
      </c>
    </row>
    <row r="75" spans="1:34" s="244" customFormat="1" ht="81.75" customHeight="1">
      <c r="A75" s="236">
        <v>1</v>
      </c>
      <c r="B75" s="233"/>
      <c r="C75" s="238" t="s">
        <v>66</v>
      </c>
      <c r="D75" s="238" t="s">
        <v>146</v>
      </c>
      <c r="E75" s="238" t="s">
        <v>66</v>
      </c>
      <c r="F75" s="238" t="s">
        <v>196</v>
      </c>
      <c r="G75" s="238" t="s">
        <v>155</v>
      </c>
      <c r="H75" s="238" t="s">
        <v>345</v>
      </c>
      <c r="I75" s="233" t="s">
        <v>346</v>
      </c>
      <c r="J75" s="233" t="s">
        <v>431</v>
      </c>
      <c r="K75" s="245">
        <f>105*6</f>
        <v>630</v>
      </c>
      <c r="L75" s="269">
        <f>170824+175000+180000+185000+190000+195000</f>
        <v>1095824</v>
      </c>
      <c r="M75" s="245">
        <f>105*2</f>
        <v>210</v>
      </c>
      <c r="N75" s="269">
        <f>170824+175000</f>
        <v>345824</v>
      </c>
      <c r="O75" s="245">
        <f>105+30+15</f>
        <v>150</v>
      </c>
      <c r="P75" s="256">
        <v>180000</v>
      </c>
      <c r="Q75" s="284">
        <v>105</v>
      </c>
      <c r="R75" s="269">
        <v>45555</v>
      </c>
      <c r="S75" s="245"/>
      <c r="T75" s="252"/>
      <c r="U75" s="245"/>
      <c r="V75" s="252"/>
      <c r="W75" s="245"/>
      <c r="X75" s="252"/>
      <c r="Y75" s="285">
        <f t="shared" ref="Y75:Z78" si="38">Q75+S75+U75+W75</f>
        <v>105</v>
      </c>
      <c r="Z75" s="237">
        <f t="shared" si="38"/>
        <v>45555</v>
      </c>
      <c r="AA75" s="225">
        <f>M75+Y75</f>
        <v>315</v>
      </c>
      <c r="AB75" s="226">
        <f>N75+Z75</f>
        <v>391379</v>
      </c>
      <c r="AC75" s="227">
        <f>(AA75/K75)*100</f>
        <v>50</v>
      </c>
      <c r="AD75" s="227">
        <f t="shared" si="37"/>
        <v>35.715498109185418</v>
      </c>
      <c r="AE75" s="243" t="s">
        <v>175</v>
      </c>
    </row>
    <row r="76" spans="1:34" s="244" customFormat="1" ht="51">
      <c r="A76" s="236">
        <v>2</v>
      </c>
      <c r="B76" s="233" t="s">
        <v>228</v>
      </c>
      <c r="C76" s="247" t="s">
        <v>66</v>
      </c>
      <c r="D76" s="238" t="s">
        <v>146</v>
      </c>
      <c r="E76" s="247" t="s">
        <v>66</v>
      </c>
      <c r="F76" s="247" t="s">
        <v>196</v>
      </c>
      <c r="G76" s="247" t="s">
        <v>155</v>
      </c>
      <c r="H76" s="247" t="s">
        <v>347</v>
      </c>
      <c r="I76" s="233" t="s">
        <v>348</v>
      </c>
      <c r="J76" s="233" t="s">
        <v>430</v>
      </c>
      <c r="K76" s="245">
        <f>275+332+350+350+350</f>
        <v>1657</v>
      </c>
      <c r="L76" s="269">
        <f>150000+200000+250000+250000+250000</f>
        <v>1100000</v>
      </c>
      <c r="M76" s="245">
        <f>275+332</f>
        <v>607</v>
      </c>
      <c r="N76" s="269">
        <f>64810+98000</f>
        <v>162810</v>
      </c>
      <c r="O76" s="245">
        <v>332</v>
      </c>
      <c r="P76" s="256">
        <v>200000</v>
      </c>
      <c r="Q76" s="245">
        <v>0</v>
      </c>
      <c r="R76" s="269">
        <v>0</v>
      </c>
      <c r="S76" s="245"/>
      <c r="T76" s="252"/>
      <c r="U76" s="245"/>
      <c r="V76" s="252"/>
      <c r="W76" s="245"/>
      <c r="X76" s="252"/>
      <c r="Y76" s="223">
        <f t="shared" si="38"/>
        <v>0</v>
      </c>
      <c r="Z76" s="224">
        <f t="shared" si="38"/>
        <v>0</v>
      </c>
      <c r="AA76" s="225">
        <f>M76+Y76</f>
        <v>607</v>
      </c>
      <c r="AB76" s="226">
        <f>N76+Z76</f>
        <v>162810</v>
      </c>
      <c r="AC76" s="227">
        <f t="shared" ref="AC76:AC78" si="39">(AA76/K76)*100</f>
        <v>36.63246831623416</v>
      </c>
      <c r="AD76" s="227">
        <f t="shared" si="37"/>
        <v>14.800909090909089</v>
      </c>
      <c r="AE76" s="243" t="s">
        <v>175</v>
      </c>
    </row>
    <row r="77" spans="1:34" s="244" customFormat="1" ht="32.25" customHeight="1">
      <c r="A77" s="236">
        <v>3</v>
      </c>
      <c r="B77" s="233"/>
      <c r="C77" s="247" t="s">
        <v>66</v>
      </c>
      <c r="D77" s="238" t="s">
        <v>146</v>
      </c>
      <c r="E77" s="247" t="s">
        <v>66</v>
      </c>
      <c r="F77" s="247" t="s">
        <v>196</v>
      </c>
      <c r="G77" s="247" t="s">
        <v>155</v>
      </c>
      <c r="H77" s="247" t="s">
        <v>349</v>
      </c>
      <c r="I77" s="233" t="s">
        <v>350</v>
      </c>
      <c r="J77" s="233" t="s">
        <v>432</v>
      </c>
      <c r="K77" s="245">
        <f>15*4</f>
        <v>60</v>
      </c>
      <c r="L77" s="269">
        <f>82400*4</f>
        <v>329600</v>
      </c>
      <c r="M77" s="245">
        <v>0</v>
      </c>
      <c r="N77" s="269">
        <v>0</v>
      </c>
      <c r="O77" s="245">
        <v>15</v>
      </c>
      <c r="P77" s="256">
        <f>82400</f>
        <v>82400</v>
      </c>
      <c r="Q77" s="245">
        <v>0</v>
      </c>
      <c r="R77" s="269">
        <v>0</v>
      </c>
      <c r="S77" s="245"/>
      <c r="T77" s="252"/>
      <c r="U77" s="245"/>
      <c r="V77" s="252"/>
      <c r="W77" s="245"/>
      <c r="X77" s="252"/>
      <c r="Y77" s="223">
        <f t="shared" si="38"/>
        <v>0</v>
      </c>
      <c r="Z77" s="224">
        <f t="shared" si="38"/>
        <v>0</v>
      </c>
      <c r="AA77" s="225">
        <f>M77+Y77</f>
        <v>0</v>
      </c>
      <c r="AB77" s="226">
        <f>N77+Z77</f>
        <v>0</v>
      </c>
      <c r="AC77" s="227">
        <f t="shared" si="39"/>
        <v>0</v>
      </c>
      <c r="AD77" s="227">
        <f t="shared" si="37"/>
        <v>0</v>
      </c>
      <c r="AE77" s="243" t="s">
        <v>175</v>
      </c>
    </row>
    <row r="78" spans="1:34" s="244" customFormat="1" ht="25.5">
      <c r="A78" s="236">
        <v>4</v>
      </c>
      <c r="B78" s="233"/>
      <c r="C78" s="247" t="s">
        <v>66</v>
      </c>
      <c r="D78" s="238" t="s">
        <v>146</v>
      </c>
      <c r="E78" s="247" t="s">
        <v>66</v>
      </c>
      <c r="F78" s="247" t="s">
        <v>196</v>
      </c>
      <c r="G78" s="247" t="s">
        <v>155</v>
      </c>
      <c r="H78" s="247" t="s">
        <v>351</v>
      </c>
      <c r="I78" s="233" t="s">
        <v>352</v>
      </c>
      <c r="J78" s="233" t="s">
        <v>433</v>
      </c>
      <c r="K78" s="245">
        <f>418*5</f>
        <v>2090</v>
      </c>
      <c r="L78" s="269">
        <f>80000+60475+70000+80000+90000</f>
        <v>380475</v>
      </c>
      <c r="M78" s="245">
        <v>418</v>
      </c>
      <c r="N78" s="269">
        <f>80000</f>
        <v>80000</v>
      </c>
      <c r="O78" s="245">
        <v>418</v>
      </c>
      <c r="P78" s="256">
        <v>60475</v>
      </c>
      <c r="Q78" s="245">
        <v>375</v>
      </c>
      <c r="R78" s="269">
        <v>28805</v>
      </c>
      <c r="S78" s="245"/>
      <c r="T78" s="252"/>
      <c r="U78" s="245"/>
      <c r="V78" s="252"/>
      <c r="W78" s="245"/>
      <c r="X78" s="252"/>
      <c r="Y78" s="223">
        <f t="shared" si="38"/>
        <v>375</v>
      </c>
      <c r="Z78" s="224">
        <f t="shared" si="38"/>
        <v>28805</v>
      </c>
      <c r="AA78" s="225">
        <f>M78+Y78</f>
        <v>793</v>
      </c>
      <c r="AB78" s="226">
        <f>N78+Z78</f>
        <v>108805</v>
      </c>
      <c r="AC78" s="227">
        <f t="shared" si="39"/>
        <v>37.942583732057415</v>
      </c>
      <c r="AD78" s="227">
        <f t="shared" si="37"/>
        <v>28.597148301465275</v>
      </c>
      <c r="AE78" s="243" t="s">
        <v>175</v>
      </c>
    </row>
    <row r="79" spans="1:34" s="244" customFormat="1" ht="19.5" customHeight="1">
      <c r="A79" s="2325"/>
      <c r="B79" s="2326"/>
      <c r="C79" s="2326"/>
      <c r="D79" s="2326"/>
      <c r="E79" s="2326"/>
      <c r="F79" s="2326"/>
      <c r="G79" s="2326"/>
      <c r="H79" s="2326"/>
      <c r="I79" s="2326"/>
      <c r="J79" s="2326"/>
      <c r="K79" s="2326"/>
      <c r="L79" s="2326"/>
      <c r="M79" s="2326"/>
      <c r="N79" s="2326"/>
      <c r="O79" s="2326"/>
      <c r="P79" s="2326"/>
      <c r="Q79" s="2326"/>
      <c r="R79" s="2326"/>
      <c r="S79" s="2326"/>
      <c r="T79" s="2326"/>
      <c r="U79" s="2326"/>
      <c r="V79" s="2326"/>
      <c r="W79" s="2326"/>
      <c r="X79" s="2326"/>
      <c r="Y79" s="2326"/>
      <c r="Z79" s="2326"/>
      <c r="AA79" s="2326"/>
      <c r="AB79" s="2326"/>
      <c r="AC79" s="2326"/>
      <c r="AD79" s="2326"/>
      <c r="AE79" s="2327"/>
    </row>
    <row r="80" spans="1:34" s="295" customFormat="1" ht="41.25" customHeight="1">
      <c r="A80" s="220">
        <v>6</v>
      </c>
      <c r="B80" s="286"/>
      <c r="C80" s="287">
        <v>1</v>
      </c>
      <c r="D80" s="288" t="s">
        <v>66</v>
      </c>
      <c r="E80" s="289" t="s">
        <v>66</v>
      </c>
      <c r="F80" s="288" t="s">
        <v>66</v>
      </c>
      <c r="G80" s="288" t="s">
        <v>167</v>
      </c>
      <c r="H80" s="288"/>
      <c r="I80" s="286" t="s">
        <v>353</v>
      </c>
      <c r="J80" s="286" t="s">
        <v>354</v>
      </c>
      <c r="K80" s="290">
        <f>99.1-98.12</f>
        <v>0.97999999999998977</v>
      </c>
      <c r="L80" s="291">
        <f>SUM(L81:L88)</f>
        <v>6347193</v>
      </c>
      <c r="M80" s="290">
        <f>98.3-98.15</f>
        <v>0.14999999999999147</v>
      </c>
      <c r="N80" s="291">
        <f>SUM(N81:N88)</f>
        <v>8757282</v>
      </c>
      <c r="O80" s="290">
        <f>98.5-98.12</f>
        <v>0.37999999999999545</v>
      </c>
      <c r="P80" s="292">
        <f>SUM(P81:P88)</f>
        <v>1301076</v>
      </c>
      <c r="Q80" s="290">
        <f>O80/4</f>
        <v>9.4999999999998863E-2</v>
      </c>
      <c r="R80" s="291">
        <f>SUM(R81:R88)</f>
        <v>215870</v>
      </c>
      <c r="S80" s="293"/>
      <c r="T80" s="294"/>
      <c r="U80" s="293"/>
      <c r="V80" s="294"/>
      <c r="W80" s="293"/>
      <c r="X80" s="294"/>
      <c r="Y80" s="218">
        <f>Q80+S80+U80+W80</f>
        <v>9.4999999999998863E-2</v>
      </c>
      <c r="Z80" s="219">
        <f>SUM(Z81:Z84)</f>
        <v>102805</v>
      </c>
      <c r="AA80" s="220">
        <f>M80+Y80</f>
        <v>0.24499999999999034</v>
      </c>
      <c r="AB80" s="221">
        <f>SUM(AB81:AB84)</f>
        <v>8482486</v>
      </c>
      <c r="AC80" s="222">
        <f>(AA80/K80)*100</f>
        <v>24.999999999999275</v>
      </c>
      <c r="AD80" s="222">
        <f t="shared" ref="AD80:AD88" si="40">(AB80/L80)*100</f>
        <v>133.64153256407988</v>
      </c>
      <c r="AE80" s="286" t="s">
        <v>175</v>
      </c>
    </row>
    <row r="81" spans="1:31" s="244" customFormat="1" ht="41.25" customHeight="1">
      <c r="A81" s="236">
        <v>1</v>
      </c>
      <c r="B81" s="233"/>
      <c r="C81" s="248">
        <v>1</v>
      </c>
      <c r="D81" s="247" t="s">
        <v>66</v>
      </c>
      <c r="E81" s="238" t="s">
        <v>66</v>
      </c>
      <c r="F81" s="247" t="s">
        <v>66</v>
      </c>
      <c r="G81" s="247" t="s">
        <v>167</v>
      </c>
      <c r="H81" s="247" t="s">
        <v>66</v>
      </c>
      <c r="I81" s="246" t="s">
        <v>355</v>
      </c>
      <c r="J81" s="246" t="s">
        <v>356</v>
      </c>
      <c r="K81" s="248">
        <f>35*6</f>
        <v>210</v>
      </c>
      <c r="L81" s="276">
        <f>50000*6</f>
        <v>300000</v>
      </c>
      <c r="M81" s="248">
        <v>30</v>
      </c>
      <c r="N81" s="296">
        <f>45000</f>
        <v>45000</v>
      </c>
      <c r="O81" s="248">
        <v>40</v>
      </c>
      <c r="P81" s="250">
        <f>66000</f>
        <v>66000</v>
      </c>
      <c r="Q81" s="245">
        <v>0</v>
      </c>
      <c r="R81" s="269">
        <v>0</v>
      </c>
      <c r="S81" s="245"/>
      <c r="T81" s="252"/>
      <c r="U81" s="245"/>
      <c r="V81" s="252"/>
      <c r="W81" s="245"/>
      <c r="X81" s="252"/>
      <c r="Y81" s="223">
        <f t="shared" ref="Y81:Z88" si="41">Q81+S81+U81+W81</f>
        <v>0</v>
      </c>
      <c r="Z81" s="224">
        <f t="shared" si="41"/>
        <v>0</v>
      </c>
      <c r="AA81" s="225">
        <f>M81+Y81</f>
        <v>30</v>
      </c>
      <c r="AB81" s="226">
        <f>N81+Z81</f>
        <v>45000</v>
      </c>
      <c r="AC81" s="227">
        <f>(AA81/K81)*100</f>
        <v>14.285714285714285</v>
      </c>
      <c r="AD81" s="227">
        <f t="shared" si="40"/>
        <v>15</v>
      </c>
      <c r="AE81" s="233" t="s">
        <v>175</v>
      </c>
    </row>
    <row r="82" spans="1:31" s="244" customFormat="1" ht="38.25" customHeight="1">
      <c r="A82" s="236">
        <v>2</v>
      </c>
      <c r="B82" s="233"/>
      <c r="C82" s="248">
        <v>1</v>
      </c>
      <c r="D82" s="247" t="s">
        <v>66</v>
      </c>
      <c r="E82" s="238" t="s">
        <v>66</v>
      </c>
      <c r="F82" s="247" t="s">
        <v>66</v>
      </c>
      <c r="G82" s="247" t="s">
        <v>167</v>
      </c>
      <c r="H82" s="247" t="s">
        <v>357</v>
      </c>
      <c r="I82" s="235" t="s">
        <v>358</v>
      </c>
      <c r="J82" s="246" t="s">
        <v>359</v>
      </c>
      <c r="K82" s="248">
        <f>56*6</f>
        <v>336</v>
      </c>
      <c r="L82" s="276">
        <f>150000*6</f>
        <v>900000</v>
      </c>
      <c r="M82" s="248">
        <v>56</v>
      </c>
      <c r="N82" s="296">
        <f>150000</f>
        <v>150000</v>
      </c>
      <c r="O82" s="248">
        <v>40</v>
      </c>
      <c r="P82" s="250">
        <v>155000</v>
      </c>
      <c r="Q82" s="248">
        <v>40</v>
      </c>
      <c r="R82" s="276">
        <v>42805</v>
      </c>
      <c r="S82" s="245"/>
      <c r="T82" s="252"/>
      <c r="U82" s="245"/>
      <c r="V82" s="252"/>
      <c r="W82" s="245"/>
      <c r="X82" s="252"/>
      <c r="Y82" s="223">
        <f t="shared" si="41"/>
        <v>40</v>
      </c>
      <c r="Z82" s="224">
        <f t="shared" si="41"/>
        <v>42805</v>
      </c>
      <c r="AA82" s="225">
        <f t="shared" ref="AA82:AB85" si="42">M82+Y82</f>
        <v>96</v>
      </c>
      <c r="AB82" s="226">
        <f t="shared" si="42"/>
        <v>192805</v>
      </c>
      <c r="AC82" s="227">
        <f t="shared" ref="AC82:AC85" si="43">(AA82/K82)*100</f>
        <v>28.571428571428569</v>
      </c>
      <c r="AD82" s="227">
        <f t="shared" si="40"/>
        <v>21.422777777777778</v>
      </c>
      <c r="AE82" s="233" t="s">
        <v>175</v>
      </c>
    </row>
    <row r="83" spans="1:31" s="244" customFormat="1" ht="38.25" customHeight="1">
      <c r="A83" s="236">
        <v>3</v>
      </c>
      <c r="B83" s="233"/>
      <c r="C83" s="247" t="s">
        <v>66</v>
      </c>
      <c r="D83" s="238" t="s">
        <v>146</v>
      </c>
      <c r="E83" s="247" t="s">
        <v>66</v>
      </c>
      <c r="F83" s="247" t="s">
        <v>196</v>
      </c>
      <c r="G83" s="247" t="s">
        <v>167</v>
      </c>
      <c r="H83" s="247" t="s">
        <v>360</v>
      </c>
      <c r="I83" s="246" t="s">
        <v>361</v>
      </c>
      <c r="J83" s="246" t="s">
        <v>362</v>
      </c>
      <c r="K83" s="248">
        <v>58</v>
      </c>
      <c r="L83" s="276">
        <v>1600936</v>
      </c>
      <c r="M83" s="247">
        <v>29</v>
      </c>
      <c r="N83" s="277">
        <v>8004681</v>
      </c>
      <c r="O83" s="248">
        <v>12</v>
      </c>
      <c r="P83" s="250">
        <v>470000</v>
      </c>
      <c r="Q83" s="247">
        <v>12</v>
      </c>
      <c r="R83" s="276">
        <v>60000</v>
      </c>
      <c r="S83" s="245"/>
      <c r="T83" s="252"/>
      <c r="U83" s="245"/>
      <c r="V83" s="252"/>
      <c r="W83" s="245"/>
      <c r="X83" s="252"/>
      <c r="Y83" s="223">
        <f t="shared" si="41"/>
        <v>12</v>
      </c>
      <c r="Z83" s="224">
        <f t="shared" si="41"/>
        <v>60000</v>
      </c>
      <c r="AA83" s="225">
        <f t="shared" si="42"/>
        <v>41</v>
      </c>
      <c r="AB83" s="226">
        <f t="shared" si="42"/>
        <v>8064681</v>
      </c>
      <c r="AC83" s="227">
        <f t="shared" si="43"/>
        <v>70.689655172413794</v>
      </c>
      <c r="AD83" s="227">
        <f t="shared" si="40"/>
        <v>503.74786999605237</v>
      </c>
      <c r="AE83" s="233" t="s">
        <v>175</v>
      </c>
    </row>
    <row r="84" spans="1:31" s="244" customFormat="1" ht="51.75" customHeight="1">
      <c r="A84" s="236">
        <v>4</v>
      </c>
      <c r="B84" s="233"/>
      <c r="C84" s="248">
        <v>1</v>
      </c>
      <c r="D84" s="247" t="s">
        <v>66</v>
      </c>
      <c r="E84" s="238" t="s">
        <v>66</v>
      </c>
      <c r="F84" s="247" t="s">
        <v>66</v>
      </c>
      <c r="G84" s="247" t="s">
        <v>167</v>
      </c>
      <c r="H84" s="247" t="s">
        <v>363</v>
      </c>
      <c r="I84" s="233" t="s">
        <v>364</v>
      </c>
      <c r="J84" s="233" t="s">
        <v>365</v>
      </c>
      <c r="K84" s="245">
        <v>500</v>
      </c>
      <c r="L84" s="269">
        <f>4*P84</f>
        <v>1048000</v>
      </c>
      <c r="M84" s="245">
        <v>80</v>
      </c>
      <c r="N84" s="269">
        <f>180000</f>
        <v>180000</v>
      </c>
      <c r="O84" s="245">
        <v>200</v>
      </c>
      <c r="P84" s="256">
        <f>262000</f>
        <v>262000</v>
      </c>
      <c r="Q84" s="245">
        <v>0</v>
      </c>
      <c r="R84" s="269">
        <v>0</v>
      </c>
      <c r="S84" s="245"/>
      <c r="T84" s="297"/>
      <c r="U84" s="245"/>
      <c r="V84" s="252"/>
      <c r="W84" s="245"/>
      <c r="X84" s="252"/>
      <c r="Y84" s="223">
        <f t="shared" si="41"/>
        <v>0</v>
      </c>
      <c r="Z84" s="224">
        <f t="shared" si="41"/>
        <v>0</v>
      </c>
      <c r="AA84" s="225">
        <f t="shared" si="42"/>
        <v>80</v>
      </c>
      <c r="AB84" s="226">
        <f t="shared" si="42"/>
        <v>180000</v>
      </c>
      <c r="AC84" s="227">
        <f t="shared" si="43"/>
        <v>16</v>
      </c>
      <c r="AD84" s="227">
        <f t="shared" si="40"/>
        <v>17.175572519083971</v>
      </c>
      <c r="AE84" s="233" t="s">
        <v>175</v>
      </c>
    </row>
    <row r="85" spans="1:31" s="244" customFormat="1" ht="37.5" customHeight="1">
      <c r="A85" s="236">
        <v>5</v>
      </c>
      <c r="B85" s="233"/>
      <c r="C85" s="247" t="s">
        <v>66</v>
      </c>
      <c r="D85" s="238" t="s">
        <v>146</v>
      </c>
      <c r="E85" s="247" t="s">
        <v>66</v>
      </c>
      <c r="F85" s="247" t="s">
        <v>196</v>
      </c>
      <c r="G85" s="247" t="s">
        <v>167</v>
      </c>
      <c r="H85" s="247" t="s">
        <v>178</v>
      </c>
      <c r="I85" s="233" t="s">
        <v>366</v>
      </c>
      <c r="J85" s="233" t="s">
        <v>367</v>
      </c>
      <c r="K85" s="245">
        <v>617</v>
      </c>
      <c r="L85" s="269">
        <v>300000</v>
      </c>
      <c r="M85" s="245">
        <v>166</v>
      </c>
      <c r="N85" s="269">
        <v>54975</v>
      </c>
      <c r="O85" s="245"/>
      <c r="P85" s="256">
        <v>66400</v>
      </c>
      <c r="Q85" s="245">
        <v>0</v>
      </c>
      <c r="R85" s="269">
        <v>0</v>
      </c>
      <c r="S85" s="245"/>
      <c r="T85" s="252"/>
      <c r="U85" s="245"/>
      <c r="V85" s="252"/>
      <c r="W85" s="245"/>
      <c r="X85" s="252"/>
      <c r="Y85" s="223">
        <f t="shared" si="41"/>
        <v>0</v>
      </c>
      <c r="Z85" s="224">
        <f t="shared" si="41"/>
        <v>0</v>
      </c>
      <c r="AA85" s="225">
        <f t="shared" si="42"/>
        <v>166</v>
      </c>
      <c r="AB85" s="226">
        <f t="shared" si="42"/>
        <v>54975</v>
      </c>
      <c r="AC85" s="227">
        <f t="shared" si="43"/>
        <v>26.904376012965965</v>
      </c>
      <c r="AD85" s="227">
        <f t="shared" si="40"/>
        <v>18.324999999999999</v>
      </c>
      <c r="AE85" s="233" t="s">
        <v>175</v>
      </c>
    </row>
    <row r="86" spans="1:31" s="244" customFormat="1" ht="37.5" customHeight="1">
      <c r="A86" s="236">
        <v>6</v>
      </c>
      <c r="B86" s="233"/>
      <c r="C86" s="247" t="s">
        <v>66</v>
      </c>
      <c r="D86" s="238" t="s">
        <v>146</v>
      </c>
      <c r="E86" s="247" t="s">
        <v>66</v>
      </c>
      <c r="F86" s="247" t="s">
        <v>196</v>
      </c>
      <c r="G86" s="247" t="s">
        <v>167</v>
      </c>
      <c r="H86" s="247" t="s">
        <v>368</v>
      </c>
      <c r="I86" s="233" t="s">
        <v>369</v>
      </c>
      <c r="J86" s="233" t="s">
        <v>370</v>
      </c>
      <c r="K86" s="245">
        <v>1097</v>
      </c>
      <c r="L86" s="269">
        <v>350000</v>
      </c>
      <c r="M86" s="245">
        <v>507</v>
      </c>
      <c r="N86" s="269">
        <v>54975</v>
      </c>
      <c r="O86" s="245"/>
      <c r="P86" s="256">
        <v>80000</v>
      </c>
      <c r="Q86" s="245">
        <v>0</v>
      </c>
      <c r="R86" s="269">
        <v>0</v>
      </c>
      <c r="S86" s="236"/>
      <c r="T86" s="252"/>
      <c r="U86" s="245"/>
      <c r="V86" s="252"/>
      <c r="W86" s="245"/>
      <c r="X86" s="252"/>
      <c r="Y86" s="285">
        <f t="shared" si="41"/>
        <v>0</v>
      </c>
      <c r="Z86" s="237">
        <f t="shared" si="41"/>
        <v>0</v>
      </c>
      <c r="AA86" s="236">
        <f>M86+Y86</f>
        <v>507</v>
      </c>
      <c r="AB86" s="237">
        <f>N86+Z86</f>
        <v>54975</v>
      </c>
      <c r="AC86" s="298">
        <f>(AA86/K86)*100</f>
        <v>46.216955332725618</v>
      </c>
      <c r="AD86" s="298">
        <f t="shared" si="40"/>
        <v>15.707142857142859</v>
      </c>
      <c r="AE86" s="233" t="s">
        <v>175</v>
      </c>
    </row>
    <row r="87" spans="1:31" s="244" customFormat="1" ht="34.5" customHeight="1">
      <c r="A87" s="236">
        <v>7</v>
      </c>
      <c r="B87" s="233"/>
      <c r="C87" s="248">
        <v>1</v>
      </c>
      <c r="D87" s="247" t="s">
        <v>66</v>
      </c>
      <c r="E87" s="238" t="s">
        <v>66</v>
      </c>
      <c r="F87" s="247" t="s">
        <v>66</v>
      </c>
      <c r="G87" s="247" t="s">
        <v>167</v>
      </c>
      <c r="H87" s="247" t="s">
        <v>160</v>
      </c>
      <c r="I87" s="235" t="s">
        <v>371</v>
      </c>
      <c r="J87" s="246" t="s">
        <v>372</v>
      </c>
      <c r="K87" s="248">
        <f>50*6</f>
        <v>300</v>
      </c>
      <c r="L87" s="276">
        <f>85000*6</f>
        <v>510000</v>
      </c>
      <c r="M87" s="248">
        <v>0</v>
      </c>
      <c r="N87" s="279">
        <v>0</v>
      </c>
      <c r="O87" s="248">
        <v>50</v>
      </c>
      <c r="P87" s="250">
        <f>140000-68724</f>
        <v>71276</v>
      </c>
      <c r="Q87" s="245">
        <v>0</v>
      </c>
      <c r="R87" s="269">
        <v>0</v>
      </c>
      <c r="S87" s="245"/>
      <c r="T87" s="252"/>
      <c r="U87" s="245"/>
      <c r="V87" s="252"/>
      <c r="W87" s="245"/>
      <c r="X87" s="252"/>
      <c r="Y87" s="223">
        <f t="shared" si="41"/>
        <v>0</v>
      </c>
      <c r="Z87" s="224">
        <f t="shared" si="41"/>
        <v>0</v>
      </c>
      <c r="AA87" s="225">
        <f t="shared" ref="AA87:AB88" si="44">M87+Y87</f>
        <v>0</v>
      </c>
      <c r="AB87" s="226">
        <f t="shared" si="44"/>
        <v>0</v>
      </c>
      <c r="AC87" s="227">
        <f t="shared" ref="AC87:AC88" si="45">(AA87/K87)*100</f>
        <v>0</v>
      </c>
      <c r="AD87" s="227">
        <f t="shared" si="40"/>
        <v>0</v>
      </c>
      <c r="AE87" s="233" t="s">
        <v>175</v>
      </c>
    </row>
    <row r="88" spans="1:31" s="244" customFormat="1" ht="35.25" customHeight="1">
      <c r="A88" s="236">
        <v>8</v>
      </c>
      <c r="B88" s="233"/>
      <c r="C88" s="247" t="s">
        <v>66</v>
      </c>
      <c r="D88" s="238" t="s">
        <v>146</v>
      </c>
      <c r="E88" s="247" t="s">
        <v>66</v>
      </c>
      <c r="F88" s="247" t="s">
        <v>196</v>
      </c>
      <c r="G88" s="247" t="s">
        <v>167</v>
      </c>
      <c r="H88" s="247" t="s">
        <v>373</v>
      </c>
      <c r="I88" s="233" t="s">
        <v>374</v>
      </c>
      <c r="J88" s="233" t="s">
        <v>375</v>
      </c>
      <c r="K88" s="245">
        <v>648</v>
      </c>
      <c r="L88" s="269">
        <v>1338257</v>
      </c>
      <c r="M88" s="245">
        <v>108</v>
      </c>
      <c r="N88" s="269">
        <v>267651</v>
      </c>
      <c r="O88" s="245">
        <v>108</v>
      </c>
      <c r="P88" s="256">
        <v>130400</v>
      </c>
      <c r="Q88" s="245">
        <v>108</v>
      </c>
      <c r="R88" s="269">
        <v>113065</v>
      </c>
      <c r="S88" s="245"/>
      <c r="T88" s="252"/>
      <c r="U88" s="245"/>
      <c r="V88" s="252"/>
      <c r="W88" s="245"/>
      <c r="X88" s="252"/>
      <c r="Y88" s="223">
        <f t="shared" si="41"/>
        <v>108</v>
      </c>
      <c r="Z88" s="224">
        <f t="shared" si="41"/>
        <v>113065</v>
      </c>
      <c r="AA88" s="236">
        <f t="shared" si="44"/>
        <v>216</v>
      </c>
      <c r="AB88" s="237">
        <f t="shared" si="44"/>
        <v>380716</v>
      </c>
      <c r="AC88" s="298">
        <f t="shared" si="45"/>
        <v>33.333333333333329</v>
      </c>
      <c r="AD88" s="298">
        <f t="shared" si="40"/>
        <v>28.44864626151778</v>
      </c>
      <c r="AE88" s="233" t="s">
        <v>175</v>
      </c>
    </row>
    <row r="89" spans="1:31" s="244" customFormat="1" ht="21" customHeight="1">
      <c r="A89" s="2325"/>
      <c r="B89" s="2326"/>
      <c r="C89" s="2326"/>
      <c r="D89" s="2326"/>
      <c r="E89" s="2326"/>
      <c r="F89" s="2326"/>
      <c r="G89" s="2326"/>
      <c r="H89" s="2326"/>
      <c r="I89" s="2326"/>
      <c r="J89" s="2326"/>
      <c r="K89" s="2326"/>
      <c r="L89" s="2326"/>
      <c r="M89" s="2326"/>
      <c r="N89" s="2326"/>
      <c r="O89" s="2326"/>
      <c r="P89" s="2326"/>
      <c r="Q89" s="2326"/>
      <c r="R89" s="2326"/>
      <c r="S89" s="2326"/>
      <c r="T89" s="2326"/>
      <c r="U89" s="2326"/>
      <c r="V89" s="2326"/>
      <c r="W89" s="2326"/>
      <c r="X89" s="2326"/>
      <c r="Y89" s="2326"/>
      <c r="Z89" s="2326"/>
      <c r="AA89" s="2326"/>
      <c r="AB89" s="2326"/>
      <c r="AC89" s="2326"/>
      <c r="AD89" s="2326"/>
      <c r="AE89" s="2327"/>
    </row>
    <row r="90" spans="1:31" s="244" customFormat="1" ht="38.25">
      <c r="A90" s="305">
        <v>7</v>
      </c>
      <c r="B90" s="243"/>
      <c r="C90" s="305">
        <v>1</v>
      </c>
      <c r="D90" s="299" t="s">
        <v>66</v>
      </c>
      <c r="E90" s="299" t="s">
        <v>66</v>
      </c>
      <c r="F90" s="299" t="s">
        <v>66</v>
      </c>
      <c r="G90" s="299" t="s">
        <v>376</v>
      </c>
      <c r="H90" s="300"/>
      <c r="I90" s="2399" t="s">
        <v>377</v>
      </c>
      <c r="J90" s="301" t="s">
        <v>378</v>
      </c>
      <c r="K90" s="291">
        <f>1955+980</f>
        <v>2935</v>
      </c>
      <c r="L90" s="291">
        <f t="shared" ref="L90:R90" si="46">SUM(L93:L106)</f>
        <v>70291175</v>
      </c>
      <c r="M90" s="291">
        <f>1955+980</f>
        <v>2935</v>
      </c>
      <c r="N90" s="291">
        <f t="shared" si="46"/>
        <v>13078886</v>
      </c>
      <c r="O90" s="291">
        <f>1955+980</f>
        <v>2935</v>
      </c>
      <c r="P90" s="292">
        <f t="shared" si="46"/>
        <v>14293169</v>
      </c>
      <c r="Q90" s="291">
        <f t="shared" si="46"/>
        <v>5</v>
      </c>
      <c r="R90" s="291">
        <f t="shared" si="46"/>
        <v>252069</v>
      </c>
      <c r="S90" s="245"/>
      <c r="T90" s="252"/>
      <c r="U90" s="245"/>
      <c r="V90" s="252"/>
      <c r="W90" s="245"/>
      <c r="X90" s="252"/>
      <c r="Y90" s="218">
        <f>Q90+S90+U90+W90</f>
        <v>5</v>
      </c>
      <c r="Z90" s="219">
        <f>SUM(Z93:Z96)</f>
        <v>102890</v>
      </c>
      <c r="AA90" s="220">
        <f>M90+Y90</f>
        <v>2940</v>
      </c>
      <c r="AB90" s="221">
        <f>SUM(AB93:AB96)</f>
        <v>1661673</v>
      </c>
      <c r="AC90" s="222">
        <f>(AA90/K90)*100</f>
        <v>100.17035775127768</v>
      </c>
      <c r="AD90" s="222">
        <f t="shared" ref="AD90:AD106" si="47">(AB90/L90)*100</f>
        <v>2.3639852371225833</v>
      </c>
      <c r="AE90" s="286" t="s">
        <v>175</v>
      </c>
    </row>
    <row r="91" spans="1:31" s="244" customFormat="1" ht="38.25">
      <c r="A91" s="376"/>
      <c r="B91" s="266"/>
      <c r="C91" s="376"/>
      <c r="D91" s="302"/>
      <c r="E91" s="302"/>
      <c r="F91" s="302"/>
      <c r="G91" s="302"/>
      <c r="H91" s="303"/>
      <c r="I91" s="2400"/>
      <c r="J91" s="301" t="s">
        <v>379</v>
      </c>
      <c r="K91" s="291">
        <f>75+390</f>
        <v>465</v>
      </c>
      <c r="L91" s="291"/>
      <c r="M91" s="291">
        <f>75+390</f>
        <v>465</v>
      </c>
      <c r="N91" s="291"/>
      <c r="O91" s="291">
        <f>75+390</f>
        <v>465</v>
      </c>
      <c r="P91" s="292"/>
      <c r="Q91" s="291"/>
      <c r="R91" s="291"/>
      <c r="S91" s="245"/>
      <c r="T91" s="252"/>
      <c r="U91" s="245"/>
      <c r="V91" s="252"/>
      <c r="W91" s="245"/>
      <c r="X91" s="252"/>
      <c r="Y91" s="262"/>
      <c r="Z91" s="304"/>
      <c r="AA91" s="305"/>
      <c r="AB91" s="306"/>
      <c r="AC91" s="307"/>
      <c r="AD91" s="307"/>
      <c r="AE91" s="286"/>
    </row>
    <row r="92" spans="1:31" s="244" customFormat="1" ht="38.25">
      <c r="A92" s="287"/>
      <c r="B92" s="246"/>
      <c r="C92" s="287"/>
      <c r="D92" s="288"/>
      <c r="E92" s="288"/>
      <c r="F92" s="288"/>
      <c r="G92" s="288"/>
      <c r="H92" s="247"/>
      <c r="I92" s="308"/>
      <c r="J92" s="301" t="s">
        <v>380</v>
      </c>
      <c r="K92" s="291">
        <v>14</v>
      </c>
      <c r="L92" s="291"/>
      <c r="M92" s="291">
        <v>14</v>
      </c>
      <c r="N92" s="291"/>
      <c r="O92" s="291">
        <v>14</v>
      </c>
      <c r="P92" s="292"/>
      <c r="Q92" s="291"/>
      <c r="R92" s="291"/>
      <c r="S92" s="245"/>
      <c r="T92" s="252"/>
      <c r="U92" s="245"/>
      <c r="V92" s="252"/>
      <c r="W92" s="245"/>
      <c r="X92" s="252"/>
      <c r="Y92" s="262"/>
      <c r="Z92" s="304"/>
      <c r="AA92" s="305"/>
      <c r="AB92" s="306"/>
      <c r="AC92" s="307"/>
      <c r="AD92" s="307"/>
      <c r="AE92" s="286"/>
    </row>
    <row r="93" spans="1:31" s="244" customFormat="1" ht="55.5" customHeight="1">
      <c r="A93" s="236">
        <v>1</v>
      </c>
      <c r="B93" s="233"/>
      <c r="C93" s="236">
        <v>1</v>
      </c>
      <c r="D93" s="238" t="s">
        <v>66</v>
      </c>
      <c r="E93" s="238" t="s">
        <v>66</v>
      </c>
      <c r="F93" s="238" t="s">
        <v>66</v>
      </c>
      <c r="G93" s="238" t="s">
        <v>376</v>
      </c>
      <c r="H93" s="238" t="s">
        <v>66</v>
      </c>
      <c r="I93" s="273" t="s">
        <v>381</v>
      </c>
      <c r="J93" s="233" t="s">
        <v>382</v>
      </c>
      <c r="K93" s="236">
        <f>4*6</f>
        <v>24</v>
      </c>
      <c r="L93" s="237">
        <f>90700+141422+(4*189930)</f>
        <v>991842</v>
      </c>
      <c r="M93" s="238">
        <f>2*4</f>
        <v>8</v>
      </c>
      <c r="N93" s="309">
        <f>90700+141422</f>
        <v>232122</v>
      </c>
      <c r="O93" s="236">
        <v>4</v>
      </c>
      <c r="P93" s="240">
        <v>189930</v>
      </c>
      <c r="Q93" s="238">
        <v>1</v>
      </c>
      <c r="R93" s="237">
        <v>14325</v>
      </c>
      <c r="S93" s="236"/>
      <c r="T93" s="240"/>
      <c r="U93" s="236"/>
      <c r="V93" s="310"/>
      <c r="W93" s="236"/>
      <c r="X93" s="310"/>
      <c r="Y93" s="223">
        <f t="shared" ref="Y93:Z106" si="48">Q93+S93+U93+W93</f>
        <v>1</v>
      </c>
      <c r="Z93" s="224">
        <f t="shared" si="48"/>
        <v>14325</v>
      </c>
      <c r="AA93" s="225">
        <f>M93+Y93</f>
        <v>9</v>
      </c>
      <c r="AB93" s="226">
        <f>N93+Z93</f>
        <v>246447</v>
      </c>
      <c r="AC93" s="227">
        <f>(AA93/K93)*100</f>
        <v>37.5</v>
      </c>
      <c r="AD93" s="227">
        <f t="shared" si="47"/>
        <v>24.84740513105918</v>
      </c>
      <c r="AE93" s="233" t="s">
        <v>175</v>
      </c>
    </row>
    <row r="94" spans="1:31" s="244" customFormat="1" ht="40.5" customHeight="1">
      <c r="A94" s="236">
        <v>2</v>
      </c>
      <c r="B94" s="233"/>
      <c r="C94" s="236">
        <v>1</v>
      </c>
      <c r="D94" s="238" t="s">
        <v>66</v>
      </c>
      <c r="E94" s="238" t="s">
        <v>66</v>
      </c>
      <c r="F94" s="238" t="s">
        <v>66</v>
      </c>
      <c r="G94" s="238" t="s">
        <v>376</v>
      </c>
      <c r="H94" s="238" t="s">
        <v>197</v>
      </c>
      <c r="I94" s="273" t="s">
        <v>383</v>
      </c>
      <c r="J94" s="233" t="s">
        <v>384</v>
      </c>
      <c r="K94" s="236">
        <f>2*6</f>
        <v>12</v>
      </c>
      <c r="L94" s="237">
        <f>360223+365000+(4*296996)</f>
        <v>1913207</v>
      </c>
      <c r="M94" s="238">
        <f>2*2</f>
        <v>4</v>
      </c>
      <c r="N94" s="309">
        <f>360223+365000</f>
        <v>725223</v>
      </c>
      <c r="O94" s="236">
        <v>2</v>
      </c>
      <c r="P94" s="240">
        <v>267174</v>
      </c>
      <c r="Q94" s="238">
        <v>0</v>
      </c>
      <c r="R94" s="237">
        <v>0</v>
      </c>
      <c r="S94" s="236"/>
      <c r="T94" s="240"/>
      <c r="U94" s="236"/>
      <c r="V94" s="310"/>
      <c r="W94" s="236"/>
      <c r="X94" s="310"/>
      <c r="Y94" s="223">
        <f t="shared" si="48"/>
        <v>0</v>
      </c>
      <c r="Z94" s="224">
        <f t="shared" si="48"/>
        <v>0</v>
      </c>
      <c r="AA94" s="225">
        <f t="shared" ref="AA94:AB101" si="49">M94+Y94</f>
        <v>4</v>
      </c>
      <c r="AB94" s="226">
        <f t="shared" si="49"/>
        <v>725223</v>
      </c>
      <c r="AC94" s="227">
        <f t="shared" ref="AC94:AC101" si="50">(AA94/K94)*100</f>
        <v>33.333333333333329</v>
      </c>
      <c r="AD94" s="227">
        <f t="shared" si="47"/>
        <v>37.906143977102317</v>
      </c>
      <c r="AE94" s="233" t="s">
        <v>175</v>
      </c>
    </row>
    <row r="95" spans="1:31" s="244" customFormat="1" ht="50.25" customHeight="1">
      <c r="A95" s="236">
        <v>3</v>
      </c>
      <c r="B95" s="233"/>
      <c r="C95" s="236">
        <v>1</v>
      </c>
      <c r="D95" s="238" t="s">
        <v>66</v>
      </c>
      <c r="E95" s="238" t="s">
        <v>66</v>
      </c>
      <c r="F95" s="238" t="s">
        <v>66</v>
      </c>
      <c r="G95" s="238" t="s">
        <v>376</v>
      </c>
      <c r="H95" s="238" t="s">
        <v>93</v>
      </c>
      <c r="I95" s="273" t="s">
        <v>385</v>
      </c>
      <c r="J95" s="233" t="s">
        <v>386</v>
      </c>
      <c r="K95" s="236">
        <f>1+(2*5)</f>
        <v>11</v>
      </c>
      <c r="L95" s="237">
        <f>198838+272600+(4*241810)</f>
        <v>1438678</v>
      </c>
      <c r="M95" s="238">
        <v>3</v>
      </c>
      <c r="N95" s="309">
        <f>198838+272600</f>
        <v>471438</v>
      </c>
      <c r="O95" s="236">
        <v>1</v>
      </c>
      <c r="P95" s="240">
        <v>241810</v>
      </c>
      <c r="Q95" s="238">
        <v>1</v>
      </c>
      <c r="R95" s="237">
        <v>88565</v>
      </c>
      <c r="S95" s="245"/>
      <c r="T95" s="252"/>
      <c r="U95" s="245"/>
      <c r="V95" s="252"/>
      <c r="W95" s="245"/>
      <c r="X95" s="252"/>
      <c r="Y95" s="223">
        <f t="shared" si="48"/>
        <v>1</v>
      </c>
      <c r="Z95" s="224">
        <f t="shared" si="48"/>
        <v>88565</v>
      </c>
      <c r="AA95" s="225">
        <f t="shared" si="49"/>
        <v>4</v>
      </c>
      <c r="AB95" s="226">
        <f t="shared" si="49"/>
        <v>560003</v>
      </c>
      <c r="AC95" s="227">
        <f t="shared" si="50"/>
        <v>36.363636363636367</v>
      </c>
      <c r="AD95" s="227">
        <f t="shared" si="47"/>
        <v>38.924832380838517</v>
      </c>
      <c r="AE95" s="233" t="s">
        <v>175</v>
      </c>
    </row>
    <row r="96" spans="1:31" s="244" customFormat="1" ht="42.75" customHeight="1">
      <c r="A96" s="236">
        <v>4</v>
      </c>
      <c r="B96" s="233"/>
      <c r="C96" s="258" t="s">
        <v>66</v>
      </c>
      <c r="D96" s="258" t="s">
        <v>66</v>
      </c>
      <c r="E96" s="258" t="s">
        <v>66</v>
      </c>
      <c r="F96" s="258" t="s">
        <v>66</v>
      </c>
      <c r="G96" s="258" t="s">
        <v>376</v>
      </c>
      <c r="H96" s="258" t="s">
        <v>201</v>
      </c>
      <c r="I96" s="235" t="s">
        <v>387</v>
      </c>
      <c r="J96" s="233" t="s">
        <v>388</v>
      </c>
      <c r="K96" s="245">
        <v>6</v>
      </c>
      <c r="L96" s="256">
        <f>6*65000</f>
        <v>390000</v>
      </c>
      <c r="M96" s="245">
        <v>2</v>
      </c>
      <c r="N96" s="256">
        <v>130000</v>
      </c>
      <c r="O96" s="245">
        <v>1</v>
      </c>
      <c r="P96" s="256">
        <v>75000</v>
      </c>
      <c r="Q96" s="245">
        <v>0</v>
      </c>
      <c r="R96" s="256">
        <v>0</v>
      </c>
      <c r="S96" s="245"/>
      <c r="T96" s="252"/>
      <c r="U96" s="245"/>
      <c r="V96" s="252"/>
      <c r="W96" s="245"/>
      <c r="X96" s="252"/>
      <c r="Y96" s="223">
        <f t="shared" si="48"/>
        <v>0</v>
      </c>
      <c r="Z96" s="224">
        <f t="shared" si="48"/>
        <v>0</v>
      </c>
      <c r="AA96" s="225">
        <f t="shared" si="49"/>
        <v>2</v>
      </c>
      <c r="AB96" s="226">
        <f t="shared" si="49"/>
        <v>130000</v>
      </c>
      <c r="AC96" s="227">
        <f t="shared" si="50"/>
        <v>33.333333333333329</v>
      </c>
      <c r="AD96" s="227">
        <f t="shared" si="47"/>
        <v>33.333333333333329</v>
      </c>
      <c r="AE96" s="233" t="s">
        <v>175</v>
      </c>
    </row>
    <row r="97" spans="1:31" s="244" customFormat="1" ht="51.75" customHeight="1">
      <c r="A97" s="236">
        <v>5</v>
      </c>
      <c r="B97" s="233"/>
      <c r="C97" s="236">
        <v>1</v>
      </c>
      <c r="D97" s="238" t="s">
        <v>66</v>
      </c>
      <c r="E97" s="238" t="s">
        <v>66</v>
      </c>
      <c r="F97" s="238" t="s">
        <v>66</v>
      </c>
      <c r="G97" s="238" t="s">
        <v>376</v>
      </c>
      <c r="H97" s="238" t="s">
        <v>202</v>
      </c>
      <c r="I97" s="273" t="s">
        <v>389</v>
      </c>
      <c r="J97" s="233" t="s">
        <v>390</v>
      </c>
      <c r="K97" s="236">
        <f>1*6</f>
        <v>6</v>
      </c>
      <c r="L97" s="237">
        <f>226718+415035+(4*267174)</f>
        <v>1710449</v>
      </c>
      <c r="M97" s="238">
        <v>2</v>
      </c>
      <c r="N97" s="309">
        <f>226718+415035</f>
        <v>641753</v>
      </c>
      <c r="O97" s="236">
        <v>1</v>
      </c>
      <c r="P97" s="240">
        <v>267174</v>
      </c>
      <c r="Q97" s="238">
        <v>0</v>
      </c>
      <c r="R97" s="237">
        <v>0</v>
      </c>
      <c r="S97" s="236"/>
      <c r="T97" s="240"/>
      <c r="U97" s="236"/>
      <c r="V97" s="310"/>
      <c r="W97" s="236"/>
      <c r="X97" s="310"/>
      <c r="Y97" s="223">
        <f t="shared" si="48"/>
        <v>0</v>
      </c>
      <c r="Z97" s="224">
        <f t="shared" si="48"/>
        <v>0</v>
      </c>
      <c r="AA97" s="225">
        <f t="shared" si="49"/>
        <v>2</v>
      </c>
      <c r="AB97" s="226">
        <f t="shared" si="49"/>
        <v>641753</v>
      </c>
      <c r="AC97" s="227">
        <f t="shared" si="50"/>
        <v>33.333333333333329</v>
      </c>
      <c r="AD97" s="227">
        <f t="shared" si="47"/>
        <v>37.519563576581355</v>
      </c>
      <c r="AE97" s="233" t="s">
        <v>175</v>
      </c>
    </row>
    <row r="98" spans="1:31" s="244" customFormat="1" ht="52.5" customHeight="1">
      <c r="A98" s="236">
        <v>6</v>
      </c>
      <c r="B98" s="233"/>
      <c r="C98" s="238" t="s">
        <v>66</v>
      </c>
      <c r="D98" s="238" t="s">
        <v>66</v>
      </c>
      <c r="E98" s="238" t="s">
        <v>66</v>
      </c>
      <c r="F98" s="238" t="s">
        <v>66</v>
      </c>
      <c r="G98" s="238" t="s">
        <v>376</v>
      </c>
      <c r="H98" s="238" t="s">
        <v>391</v>
      </c>
      <c r="I98" s="233" t="s">
        <v>392</v>
      </c>
      <c r="J98" s="233" t="s">
        <v>393</v>
      </c>
      <c r="K98" s="236">
        <f>2*6</f>
        <v>12</v>
      </c>
      <c r="L98" s="237">
        <f>254730+222141+(4*100026)</f>
        <v>876975</v>
      </c>
      <c r="M98" s="238">
        <v>4</v>
      </c>
      <c r="N98" s="309">
        <f>254730+222141</f>
        <v>476871</v>
      </c>
      <c r="O98" s="236">
        <v>2</v>
      </c>
      <c r="P98" s="268">
        <v>100026</v>
      </c>
      <c r="Q98" s="238">
        <v>1</v>
      </c>
      <c r="R98" s="268">
        <v>37513</v>
      </c>
      <c r="S98" s="236"/>
      <c r="T98" s="240"/>
      <c r="U98" s="236"/>
      <c r="V98" s="310"/>
      <c r="W98" s="236"/>
      <c r="X98" s="310"/>
      <c r="Y98" s="223">
        <f t="shared" si="48"/>
        <v>1</v>
      </c>
      <c r="Z98" s="224">
        <f t="shared" si="48"/>
        <v>37513</v>
      </c>
      <c r="AA98" s="225">
        <f t="shared" si="49"/>
        <v>5</v>
      </c>
      <c r="AB98" s="226">
        <f t="shared" si="49"/>
        <v>514384</v>
      </c>
      <c r="AC98" s="227">
        <f t="shared" si="50"/>
        <v>41.666666666666671</v>
      </c>
      <c r="AD98" s="227">
        <f t="shared" si="47"/>
        <v>58.654351606374192</v>
      </c>
      <c r="AE98" s="233" t="s">
        <v>175</v>
      </c>
    </row>
    <row r="99" spans="1:31" s="244" customFormat="1" ht="38.25">
      <c r="A99" s="236">
        <v>7</v>
      </c>
      <c r="B99" s="233"/>
      <c r="C99" s="238" t="s">
        <v>66</v>
      </c>
      <c r="D99" s="238" t="s">
        <v>66</v>
      </c>
      <c r="E99" s="238" t="s">
        <v>66</v>
      </c>
      <c r="F99" s="238" t="s">
        <v>66</v>
      </c>
      <c r="G99" s="238" t="s">
        <v>376</v>
      </c>
      <c r="H99" s="238" t="s">
        <v>357</v>
      </c>
      <c r="I99" s="233" t="s">
        <v>394</v>
      </c>
      <c r="J99" s="233" t="s">
        <v>395</v>
      </c>
      <c r="K99" s="236">
        <f>60*6</f>
        <v>360</v>
      </c>
      <c r="L99" s="237">
        <f>148996+140923+(4*130000)</f>
        <v>809919</v>
      </c>
      <c r="M99" s="238">
        <v>120</v>
      </c>
      <c r="N99" s="309">
        <f>148996+140923</f>
        <v>289919</v>
      </c>
      <c r="O99" s="236">
        <v>60</v>
      </c>
      <c r="P99" s="268">
        <v>130000</v>
      </c>
      <c r="Q99" s="238">
        <v>0</v>
      </c>
      <c r="R99" s="268">
        <v>0</v>
      </c>
      <c r="S99" s="236"/>
      <c r="T99" s="240"/>
      <c r="U99" s="236"/>
      <c r="V99" s="310"/>
      <c r="W99" s="236"/>
      <c r="X99" s="310"/>
      <c r="Y99" s="223">
        <f t="shared" si="48"/>
        <v>0</v>
      </c>
      <c r="Z99" s="224">
        <f t="shared" si="48"/>
        <v>0</v>
      </c>
      <c r="AA99" s="225">
        <f t="shared" si="49"/>
        <v>120</v>
      </c>
      <c r="AB99" s="226">
        <f t="shared" si="49"/>
        <v>289919</v>
      </c>
      <c r="AC99" s="227">
        <f t="shared" si="50"/>
        <v>33.333333333333329</v>
      </c>
      <c r="AD99" s="227">
        <f t="shared" si="47"/>
        <v>35.79604874067654</v>
      </c>
      <c r="AE99" s="233" t="s">
        <v>175</v>
      </c>
    </row>
    <row r="100" spans="1:31" s="244" customFormat="1" ht="42.75" customHeight="1">
      <c r="A100" s="236">
        <v>8</v>
      </c>
      <c r="B100" s="233"/>
      <c r="C100" s="236">
        <v>1</v>
      </c>
      <c r="D100" s="238" t="s">
        <v>66</v>
      </c>
      <c r="E100" s="238" t="s">
        <v>66</v>
      </c>
      <c r="F100" s="238" t="s">
        <v>66</v>
      </c>
      <c r="G100" s="238" t="s">
        <v>376</v>
      </c>
      <c r="H100" s="238" t="s">
        <v>396</v>
      </c>
      <c r="I100" s="273" t="s">
        <v>397</v>
      </c>
      <c r="J100" s="233" t="s">
        <v>398</v>
      </c>
      <c r="K100" s="245">
        <f>4*5</f>
        <v>20</v>
      </c>
      <c r="L100" s="256">
        <f>579714+(4*416239)</f>
        <v>2244670</v>
      </c>
      <c r="M100" s="245">
        <f>1*4</f>
        <v>4</v>
      </c>
      <c r="N100" s="256">
        <v>579714</v>
      </c>
      <c r="O100" s="245">
        <v>4</v>
      </c>
      <c r="P100" s="256">
        <v>416239</v>
      </c>
      <c r="Q100" s="245">
        <v>0</v>
      </c>
      <c r="R100" s="256">
        <v>0</v>
      </c>
      <c r="S100" s="245"/>
      <c r="T100" s="240"/>
      <c r="U100" s="245"/>
      <c r="V100" s="252"/>
      <c r="W100" s="245"/>
      <c r="X100" s="252"/>
      <c r="Y100" s="223">
        <f t="shared" si="48"/>
        <v>0</v>
      </c>
      <c r="Z100" s="224">
        <f t="shared" si="48"/>
        <v>0</v>
      </c>
      <c r="AA100" s="225">
        <f t="shared" si="49"/>
        <v>4</v>
      </c>
      <c r="AB100" s="226">
        <f t="shared" si="49"/>
        <v>579714</v>
      </c>
      <c r="AC100" s="227">
        <f t="shared" si="50"/>
        <v>20</v>
      </c>
      <c r="AD100" s="227">
        <f t="shared" si="47"/>
        <v>25.826246174270608</v>
      </c>
      <c r="AE100" s="233" t="s">
        <v>175</v>
      </c>
    </row>
    <row r="101" spans="1:31" s="244" customFormat="1" ht="42.75" customHeight="1">
      <c r="A101" s="236">
        <v>9</v>
      </c>
      <c r="B101" s="243"/>
      <c r="C101" s="225">
        <v>1</v>
      </c>
      <c r="D101" s="300" t="s">
        <v>66</v>
      </c>
      <c r="E101" s="300" t="s">
        <v>66</v>
      </c>
      <c r="F101" s="300" t="s">
        <v>66</v>
      </c>
      <c r="G101" s="300" t="s">
        <v>376</v>
      </c>
      <c r="H101" s="300" t="s">
        <v>399</v>
      </c>
      <c r="I101" s="243" t="s">
        <v>397</v>
      </c>
      <c r="J101" s="243" t="s">
        <v>400</v>
      </c>
      <c r="K101" s="263">
        <f>2*6</f>
        <v>12</v>
      </c>
      <c r="L101" s="311">
        <f>116950+118484+(4*130789)</f>
        <v>758590</v>
      </c>
      <c r="M101" s="303">
        <f>2*2</f>
        <v>4</v>
      </c>
      <c r="N101" s="312">
        <f>116950+118484</f>
        <v>235434</v>
      </c>
      <c r="O101" s="263">
        <v>2</v>
      </c>
      <c r="P101" s="313">
        <v>130789</v>
      </c>
      <c r="Q101" s="300">
        <v>0</v>
      </c>
      <c r="R101" s="314">
        <v>0</v>
      </c>
      <c r="S101" s="245"/>
      <c r="T101" s="240"/>
      <c r="U101" s="245"/>
      <c r="V101" s="252"/>
      <c r="W101" s="245"/>
      <c r="X101" s="252"/>
      <c r="Y101" s="223">
        <f t="shared" si="48"/>
        <v>0</v>
      </c>
      <c r="Z101" s="224">
        <f t="shared" si="48"/>
        <v>0</v>
      </c>
      <c r="AA101" s="225">
        <f t="shared" si="49"/>
        <v>4</v>
      </c>
      <c r="AB101" s="226">
        <f t="shared" si="49"/>
        <v>235434</v>
      </c>
      <c r="AC101" s="227">
        <f t="shared" si="50"/>
        <v>33.333333333333329</v>
      </c>
      <c r="AD101" s="227">
        <f t="shared" si="47"/>
        <v>31.035737354829358</v>
      </c>
      <c r="AE101" s="233" t="s">
        <v>175</v>
      </c>
    </row>
    <row r="102" spans="1:31" s="244" customFormat="1" ht="38.25">
      <c r="A102" s="236">
        <v>10</v>
      </c>
      <c r="B102" s="238"/>
      <c r="C102" s="238" t="s">
        <v>66</v>
      </c>
      <c r="D102" s="238" t="s">
        <v>146</v>
      </c>
      <c r="E102" s="238" t="s">
        <v>66</v>
      </c>
      <c r="F102" s="238" t="s">
        <v>196</v>
      </c>
      <c r="G102" s="238" t="s">
        <v>376</v>
      </c>
      <c r="H102" s="238" t="s">
        <v>401</v>
      </c>
      <c r="I102" s="233" t="s">
        <v>402</v>
      </c>
      <c r="J102" s="233" t="s">
        <v>434</v>
      </c>
      <c r="K102" s="245">
        <f>25*6</f>
        <v>150</v>
      </c>
      <c r="L102" s="269">
        <f>250000+223225+230000+235000+240000</f>
        <v>1178225</v>
      </c>
      <c r="M102" s="245">
        <v>25</v>
      </c>
      <c r="N102" s="269">
        <f>25000</f>
        <v>25000</v>
      </c>
      <c r="O102" s="245">
        <v>25</v>
      </c>
      <c r="P102" s="256">
        <v>223225</v>
      </c>
      <c r="Q102" s="245">
        <v>0</v>
      </c>
      <c r="R102" s="269">
        <v>0</v>
      </c>
      <c r="S102" s="233"/>
      <c r="T102" s="280"/>
      <c r="U102" s="245"/>
      <c r="V102" s="252"/>
      <c r="W102" s="245"/>
      <c r="X102" s="252"/>
      <c r="Y102" s="223">
        <f t="shared" si="48"/>
        <v>0</v>
      </c>
      <c r="Z102" s="224">
        <f t="shared" si="48"/>
        <v>0</v>
      </c>
      <c r="AA102" s="225">
        <f>M102+Y102</f>
        <v>25</v>
      </c>
      <c r="AB102" s="226">
        <f>N102+Z102</f>
        <v>25000</v>
      </c>
      <c r="AC102" s="227">
        <f>(AA102/K102)*100</f>
        <v>16.666666666666664</v>
      </c>
      <c r="AD102" s="227">
        <f t="shared" si="47"/>
        <v>2.1218358123448406</v>
      </c>
      <c r="AE102" s="233" t="s">
        <v>175</v>
      </c>
    </row>
    <row r="103" spans="1:31" s="244" customFormat="1" ht="46.5" customHeight="1">
      <c r="A103" s="236">
        <v>11</v>
      </c>
      <c r="B103" s="233"/>
      <c r="C103" s="236">
        <v>1</v>
      </c>
      <c r="D103" s="238" t="s">
        <v>66</v>
      </c>
      <c r="E103" s="238" t="s">
        <v>66</v>
      </c>
      <c r="F103" s="238" t="s">
        <v>66</v>
      </c>
      <c r="G103" s="238" t="s">
        <v>376</v>
      </c>
      <c r="H103" s="238" t="s">
        <v>403</v>
      </c>
      <c r="I103" s="273" t="s">
        <v>404</v>
      </c>
      <c r="J103" s="233" t="s">
        <v>405</v>
      </c>
      <c r="K103" s="236">
        <f>8+9+(4*7)</f>
        <v>45</v>
      </c>
      <c r="L103" s="237">
        <f>400530+(5*433382)</f>
        <v>2567440</v>
      </c>
      <c r="M103" s="238">
        <f>8+9</f>
        <v>17</v>
      </c>
      <c r="N103" s="309">
        <f>400530+433382</f>
        <v>833912</v>
      </c>
      <c r="O103" s="236">
        <v>7</v>
      </c>
      <c r="P103" s="240">
        <v>433382</v>
      </c>
      <c r="Q103" s="238">
        <v>1</v>
      </c>
      <c r="R103" s="237">
        <v>53546</v>
      </c>
      <c r="S103" s="236"/>
      <c r="T103" s="240"/>
      <c r="U103" s="236"/>
      <c r="V103" s="310"/>
      <c r="W103" s="236"/>
      <c r="X103" s="310"/>
      <c r="Y103" s="223">
        <f t="shared" si="48"/>
        <v>1</v>
      </c>
      <c r="Z103" s="224">
        <f t="shared" si="48"/>
        <v>53546</v>
      </c>
      <c r="AA103" s="225">
        <f>M103+Y103</f>
        <v>18</v>
      </c>
      <c r="AB103" s="226">
        <f>N103+Z103</f>
        <v>887458</v>
      </c>
      <c r="AC103" s="227">
        <f>(AA103/K103)*100</f>
        <v>40</v>
      </c>
      <c r="AD103" s="227">
        <f t="shared" si="47"/>
        <v>34.565871062225405</v>
      </c>
      <c r="AE103" s="233" t="s">
        <v>175</v>
      </c>
    </row>
    <row r="104" spans="1:31" s="244" customFormat="1" ht="53.25" customHeight="1">
      <c r="A104" s="236">
        <v>12</v>
      </c>
      <c r="B104" s="233"/>
      <c r="C104" s="238" t="s">
        <v>66</v>
      </c>
      <c r="D104" s="238" t="s">
        <v>66</v>
      </c>
      <c r="E104" s="238" t="s">
        <v>66</v>
      </c>
      <c r="F104" s="238" t="s">
        <v>66</v>
      </c>
      <c r="G104" s="238">
        <v>20</v>
      </c>
      <c r="H104" s="238">
        <v>40</v>
      </c>
      <c r="I104" s="315" t="s">
        <v>406</v>
      </c>
      <c r="J104" s="233" t="s">
        <v>407</v>
      </c>
      <c r="K104" s="236">
        <v>4</v>
      </c>
      <c r="L104" s="316">
        <f>4*84220</f>
        <v>336880</v>
      </c>
      <c r="M104" s="238">
        <v>0</v>
      </c>
      <c r="N104" s="256">
        <v>0</v>
      </c>
      <c r="O104" s="236">
        <v>1</v>
      </c>
      <c r="P104" s="317">
        <v>84220</v>
      </c>
      <c r="Q104" s="238">
        <v>1</v>
      </c>
      <c r="R104" s="237">
        <v>58120</v>
      </c>
      <c r="S104" s="236"/>
      <c r="T104" s="240"/>
      <c r="U104" s="236"/>
      <c r="V104" s="310"/>
      <c r="W104" s="236"/>
      <c r="X104" s="310"/>
      <c r="Y104" s="285">
        <f t="shared" si="48"/>
        <v>1</v>
      </c>
      <c r="Z104" s="237">
        <f t="shared" si="48"/>
        <v>58120</v>
      </c>
      <c r="AA104" s="236">
        <f t="shared" ref="AA104:AB104" si="51">M104+Y104</f>
        <v>1</v>
      </c>
      <c r="AB104" s="237">
        <f t="shared" si="51"/>
        <v>58120</v>
      </c>
      <c r="AC104" s="298">
        <f t="shared" ref="AC104" si="52">(AA104/K104)*100</f>
        <v>25</v>
      </c>
      <c r="AD104" s="298">
        <f t="shared" si="47"/>
        <v>17.252434101163619</v>
      </c>
      <c r="AE104" s="233" t="s">
        <v>175</v>
      </c>
    </row>
    <row r="105" spans="1:31" s="244" customFormat="1" ht="39" customHeight="1">
      <c r="A105" s="236">
        <v>13</v>
      </c>
      <c r="B105" s="233"/>
      <c r="C105" s="238" t="s">
        <v>66</v>
      </c>
      <c r="D105" s="238" t="s">
        <v>66</v>
      </c>
      <c r="E105" s="238" t="s">
        <v>66</v>
      </c>
      <c r="F105" s="238" t="s">
        <v>66</v>
      </c>
      <c r="G105" s="238">
        <v>20</v>
      </c>
      <c r="H105" s="238">
        <v>42</v>
      </c>
      <c r="I105" s="318" t="s">
        <v>408</v>
      </c>
      <c r="J105" s="233" t="s">
        <v>409</v>
      </c>
      <c r="K105" s="236">
        <v>2</v>
      </c>
      <c r="L105" s="316">
        <f>K105*150000</f>
        <v>300000</v>
      </c>
      <c r="M105" s="238">
        <v>0</v>
      </c>
      <c r="N105" s="256">
        <v>0</v>
      </c>
      <c r="O105" s="236">
        <v>1</v>
      </c>
      <c r="P105" s="317">
        <v>150000</v>
      </c>
      <c r="Q105" s="238">
        <v>0</v>
      </c>
      <c r="R105" s="256">
        <v>0</v>
      </c>
      <c r="S105" s="236"/>
      <c r="T105" s="240"/>
      <c r="U105" s="236"/>
      <c r="V105" s="310"/>
      <c r="W105" s="236"/>
      <c r="X105" s="310"/>
      <c r="Y105" s="223">
        <f t="shared" si="48"/>
        <v>0</v>
      </c>
      <c r="Z105" s="224">
        <f t="shared" si="48"/>
        <v>0</v>
      </c>
      <c r="AA105" s="225">
        <f>M105+Y105</f>
        <v>0</v>
      </c>
      <c r="AB105" s="226">
        <f>N105+Z105</f>
        <v>0</v>
      </c>
      <c r="AC105" s="227">
        <f>(AA105/K105)*100</f>
        <v>0</v>
      </c>
      <c r="AD105" s="227">
        <f t="shared" si="47"/>
        <v>0</v>
      </c>
      <c r="AE105" s="233" t="s">
        <v>175</v>
      </c>
    </row>
    <row r="106" spans="1:31" s="244" customFormat="1" ht="42.75" customHeight="1">
      <c r="A106" s="236">
        <v>14</v>
      </c>
      <c r="B106" s="233"/>
      <c r="C106" s="236">
        <v>1</v>
      </c>
      <c r="D106" s="238" t="s">
        <v>66</v>
      </c>
      <c r="E106" s="238" t="s">
        <v>66</v>
      </c>
      <c r="F106" s="238" t="s">
        <v>66</v>
      </c>
      <c r="G106" s="238" t="s">
        <v>376</v>
      </c>
      <c r="H106" s="238" t="s">
        <v>396</v>
      </c>
      <c r="I106" s="273" t="s">
        <v>410</v>
      </c>
      <c r="J106" s="233" t="s">
        <v>411</v>
      </c>
      <c r="K106" s="245">
        <f>1250+(4*1283)</f>
        <v>6382</v>
      </c>
      <c r="L106" s="256">
        <f>8437500+(4*11584200)</f>
        <v>54774300</v>
      </c>
      <c r="M106" s="245">
        <v>1250</v>
      </c>
      <c r="N106" s="256">
        <v>8437500</v>
      </c>
      <c r="O106" s="245">
        <v>1283</v>
      </c>
      <c r="P106" s="256">
        <v>11584200</v>
      </c>
      <c r="Q106" s="245">
        <v>0</v>
      </c>
      <c r="R106" s="256">
        <v>0</v>
      </c>
      <c r="S106" s="245"/>
      <c r="T106" s="240"/>
      <c r="U106" s="245"/>
      <c r="V106" s="252"/>
      <c r="W106" s="245"/>
      <c r="X106" s="252"/>
      <c r="Y106" s="223">
        <f t="shared" si="48"/>
        <v>0</v>
      </c>
      <c r="Z106" s="224">
        <f t="shared" si="48"/>
        <v>0</v>
      </c>
      <c r="AA106" s="225">
        <f t="shared" ref="AA106:AB106" si="53">M106+Y106</f>
        <v>1250</v>
      </c>
      <c r="AB106" s="226">
        <f t="shared" si="53"/>
        <v>8437500</v>
      </c>
      <c r="AC106" s="227">
        <f t="shared" ref="AC106" si="54">(AA106/K106)*100</f>
        <v>19.586336571607646</v>
      </c>
      <c r="AD106" s="227">
        <f t="shared" si="47"/>
        <v>15.404122006123311</v>
      </c>
      <c r="AE106" s="233" t="s">
        <v>175</v>
      </c>
    </row>
    <row r="107" spans="1:31" s="244" customFormat="1" ht="21" customHeight="1">
      <c r="A107" s="2325" t="s">
        <v>228</v>
      </c>
      <c r="B107" s="2326"/>
      <c r="C107" s="2326"/>
      <c r="D107" s="2326"/>
      <c r="E107" s="2326"/>
      <c r="F107" s="2326"/>
      <c r="G107" s="2326"/>
      <c r="H107" s="2326"/>
      <c r="I107" s="2326"/>
      <c r="J107" s="2326"/>
      <c r="K107" s="2326"/>
      <c r="L107" s="2326"/>
      <c r="M107" s="2326"/>
      <c r="N107" s="2326"/>
      <c r="O107" s="2326"/>
      <c r="P107" s="2326"/>
      <c r="Q107" s="2326"/>
      <c r="R107" s="2326"/>
      <c r="S107" s="2326"/>
      <c r="T107" s="2326"/>
      <c r="U107" s="2326"/>
      <c r="V107" s="2326"/>
      <c r="W107" s="2326"/>
      <c r="X107" s="2326"/>
      <c r="Y107" s="2326"/>
      <c r="Z107" s="2326"/>
      <c r="AA107" s="2326"/>
      <c r="AB107" s="2326"/>
      <c r="AC107" s="2326"/>
      <c r="AD107" s="2326"/>
      <c r="AE107" s="2327"/>
    </row>
    <row r="108" spans="1:31" s="295" customFormat="1" ht="27" customHeight="1">
      <c r="A108" s="305">
        <v>8</v>
      </c>
      <c r="B108" s="377"/>
      <c r="C108" s="319" t="s">
        <v>66</v>
      </c>
      <c r="D108" s="319" t="s">
        <v>66</v>
      </c>
      <c r="E108" s="319" t="s">
        <v>66</v>
      </c>
      <c r="F108" s="319" t="s">
        <v>66</v>
      </c>
      <c r="G108" s="319" t="s">
        <v>163</v>
      </c>
      <c r="H108" s="299"/>
      <c r="I108" s="378" t="s">
        <v>412</v>
      </c>
      <c r="J108" s="286" t="s">
        <v>413</v>
      </c>
      <c r="K108" s="291">
        <v>85</v>
      </c>
      <c r="L108" s="291">
        <f t="shared" ref="L108:R108" si="55">SUM(L110:L115)</f>
        <v>6396656</v>
      </c>
      <c r="M108" s="291">
        <v>70</v>
      </c>
      <c r="N108" s="291">
        <f t="shared" si="55"/>
        <v>1858680</v>
      </c>
      <c r="O108" s="291">
        <v>73.33</v>
      </c>
      <c r="P108" s="292">
        <f t="shared" si="55"/>
        <v>1134494</v>
      </c>
      <c r="Q108" s="291">
        <f t="shared" si="55"/>
        <v>11.5</v>
      </c>
      <c r="R108" s="291">
        <f t="shared" si="55"/>
        <v>90533</v>
      </c>
      <c r="S108" s="293"/>
      <c r="T108" s="294"/>
      <c r="U108" s="293"/>
      <c r="V108" s="294"/>
      <c r="W108" s="293"/>
      <c r="X108" s="294"/>
      <c r="Y108" s="218">
        <f>Q108+S108+U108+W108</f>
        <v>11.5</v>
      </c>
      <c r="Z108" s="219">
        <f>SUM(Z110:Z115)</f>
        <v>90533</v>
      </c>
      <c r="AA108" s="220">
        <f>M108+Y108</f>
        <v>81.5</v>
      </c>
      <c r="AB108" s="221">
        <f>SUM(AB110:AB115)</f>
        <v>1949213</v>
      </c>
      <c r="AC108" s="222">
        <f>(AA108/K108)*100</f>
        <v>95.882352941176478</v>
      </c>
      <c r="AD108" s="222">
        <f t="shared" ref="AD108:AD115" si="56">(AB108/L108)*100</f>
        <v>30.472374940906622</v>
      </c>
      <c r="AE108" s="161" t="s">
        <v>175</v>
      </c>
    </row>
    <row r="109" spans="1:31" s="295" customFormat="1" ht="24" customHeight="1">
      <c r="A109" s="287"/>
      <c r="B109" s="379"/>
      <c r="C109" s="380"/>
      <c r="D109" s="380"/>
      <c r="E109" s="380"/>
      <c r="F109" s="380"/>
      <c r="G109" s="380"/>
      <c r="H109" s="288"/>
      <c r="I109" s="381"/>
      <c r="J109" s="286" t="s">
        <v>414</v>
      </c>
      <c r="K109" s="291">
        <v>85</v>
      </c>
      <c r="L109" s="291"/>
      <c r="M109" s="291">
        <v>40</v>
      </c>
      <c r="N109" s="291"/>
      <c r="O109" s="291">
        <v>44</v>
      </c>
      <c r="P109" s="292"/>
      <c r="Q109" s="291"/>
      <c r="R109" s="291"/>
      <c r="S109" s="293"/>
      <c r="T109" s="294"/>
      <c r="U109" s="293"/>
      <c r="V109" s="294"/>
      <c r="W109" s="293"/>
      <c r="X109" s="294"/>
      <c r="Y109" s="262"/>
      <c r="Z109" s="304"/>
      <c r="AA109" s="305"/>
      <c r="AB109" s="306"/>
      <c r="AC109" s="307"/>
      <c r="AD109" s="307"/>
      <c r="AE109" s="161"/>
    </row>
    <row r="110" spans="1:31" s="244" customFormat="1" ht="54" customHeight="1">
      <c r="A110" s="236">
        <v>1</v>
      </c>
      <c r="B110" s="233"/>
      <c r="C110" s="321" t="s">
        <v>66</v>
      </c>
      <c r="D110" s="321" t="s">
        <v>66</v>
      </c>
      <c r="E110" s="321" t="s">
        <v>66</v>
      </c>
      <c r="F110" s="321" t="s">
        <v>66</v>
      </c>
      <c r="G110" s="321" t="s">
        <v>163</v>
      </c>
      <c r="H110" s="322" t="s">
        <v>198</v>
      </c>
      <c r="I110" s="235" t="s">
        <v>415</v>
      </c>
      <c r="J110" s="233" t="s">
        <v>416</v>
      </c>
      <c r="K110" s="245">
        <v>6</v>
      </c>
      <c r="L110" s="256">
        <f>K110*P110</f>
        <v>452976</v>
      </c>
      <c r="M110" s="245">
        <v>2</v>
      </c>
      <c r="N110" s="256">
        <f>M110*P110</f>
        <v>150992</v>
      </c>
      <c r="O110" s="245">
        <v>1</v>
      </c>
      <c r="P110" s="256">
        <v>75496</v>
      </c>
      <c r="Q110" s="245">
        <f>50%*O110</f>
        <v>0.5</v>
      </c>
      <c r="R110" s="256">
        <v>20000</v>
      </c>
      <c r="S110" s="245"/>
      <c r="T110" s="252"/>
      <c r="U110" s="245"/>
      <c r="V110" s="252"/>
      <c r="W110" s="245"/>
      <c r="X110" s="252"/>
      <c r="Y110" s="223">
        <f t="shared" ref="Y110:Z115" si="57">Q110+S110+U110+W110</f>
        <v>0.5</v>
      </c>
      <c r="Z110" s="224">
        <f t="shared" si="57"/>
        <v>20000</v>
      </c>
      <c r="AA110" s="225">
        <f>M110+Y110</f>
        <v>2.5</v>
      </c>
      <c r="AB110" s="226">
        <f>N110+Z110</f>
        <v>170992</v>
      </c>
      <c r="AC110" s="227">
        <f>(AA110/K110)*100</f>
        <v>41.666666666666671</v>
      </c>
      <c r="AD110" s="227">
        <f t="shared" si="56"/>
        <v>37.748578291123593</v>
      </c>
      <c r="AE110" s="161" t="s">
        <v>175</v>
      </c>
    </row>
    <row r="111" spans="1:31" s="244" customFormat="1" ht="59.25" customHeight="1">
      <c r="A111" s="236">
        <v>2</v>
      </c>
      <c r="B111" s="233"/>
      <c r="C111" s="321" t="s">
        <v>66</v>
      </c>
      <c r="D111" s="321" t="s">
        <v>66</v>
      </c>
      <c r="E111" s="321" t="s">
        <v>66</v>
      </c>
      <c r="F111" s="321" t="s">
        <v>66</v>
      </c>
      <c r="G111" s="321" t="s">
        <v>163</v>
      </c>
      <c r="H111" s="321" t="s">
        <v>417</v>
      </c>
      <c r="I111" s="323" t="s">
        <v>418</v>
      </c>
      <c r="J111" s="243" t="s">
        <v>419</v>
      </c>
      <c r="K111" s="282">
        <v>422</v>
      </c>
      <c r="L111" s="283">
        <f>6*127258</f>
        <v>763548</v>
      </c>
      <c r="M111" s="282">
        <v>2</v>
      </c>
      <c r="N111" s="283">
        <f>127258*M111</f>
        <v>254516</v>
      </c>
      <c r="O111" s="282">
        <v>1</v>
      </c>
      <c r="P111" s="283">
        <f>127258*O111</f>
        <v>127258</v>
      </c>
      <c r="Q111" s="282">
        <v>0</v>
      </c>
      <c r="R111" s="283">
        <v>0</v>
      </c>
      <c r="S111" s="282"/>
      <c r="T111" s="324"/>
      <c r="U111" s="282"/>
      <c r="V111" s="324"/>
      <c r="W111" s="282"/>
      <c r="X111" s="324"/>
      <c r="Y111" s="223">
        <f t="shared" si="57"/>
        <v>0</v>
      </c>
      <c r="Z111" s="224">
        <f t="shared" si="57"/>
        <v>0</v>
      </c>
      <c r="AA111" s="225">
        <f t="shared" ref="AA111:AB115" si="58">M111+Y111</f>
        <v>2</v>
      </c>
      <c r="AB111" s="226">
        <f t="shared" si="58"/>
        <v>254516</v>
      </c>
      <c r="AC111" s="227">
        <f t="shared" ref="AC111:AC115" si="59">(AA111/K111)*100</f>
        <v>0.47393364928909953</v>
      </c>
      <c r="AD111" s="227">
        <f t="shared" si="56"/>
        <v>33.333333333333329</v>
      </c>
      <c r="AE111" s="161" t="s">
        <v>175</v>
      </c>
    </row>
    <row r="112" spans="1:31" s="244" customFormat="1" ht="41.25" customHeight="1">
      <c r="A112" s="236">
        <v>3</v>
      </c>
      <c r="B112" s="233"/>
      <c r="C112" s="258" t="s">
        <v>66</v>
      </c>
      <c r="D112" s="234" t="s">
        <v>66</v>
      </c>
      <c r="E112" s="234" t="s">
        <v>66</v>
      </c>
      <c r="F112" s="234" t="s">
        <v>66</v>
      </c>
      <c r="G112" s="234" t="s">
        <v>163</v>
      </c>
      <c r="H112" s="234" t="s">
        <v>396</v>
      </c>
      <c r="I112" s="233" t="s">
        <v>420</v>
      </c>
      <c r="J112" s="233" t="s">
        <v>421</v>
      </c>
      <c r="K112" s="245">
        <v>6</v>
      </c>
      <c r="L112" s="268">
        <f>6*P112</f>
        <v>3231636</v>
      </c>
      <c r="M112" s="245">
        <v>2</v>
      </c>
      <c r="N112" s="256">
        <f>P112*2</f>
        <v>1077212</v>
      </c>
      <c r="O112" s="245">
        <v>1</v>
      </c>
      <c r="P112" s="256">
        <v>538606</v>
      </c>
      <c r="Q112" s="245">
        <v>0</v>
      </c>
      <c r="R112" s="256">
        <v>50762</v>
      </c>
      <c r="S112" s="245"/>
      <c r="T112" s="252"/>
      <c r="U112" s="245"/>
      <c r="V112" s="252"/>
      <c r="W112" s="245"/>
      <c r="X112" s="252"/>
      <c r="Y112" s="223">
        <f t="shared" si="57"/>
        <v>0</v>
      </c>
      <c r="Z112" s="224">
        <f t="shared" si="57"/>
        <v>50762</v>
      </c>
      <c r="AA112" s="225">
        <f t="shared" si="58"/>
        <v>2</v>
      </c>
      <c r="AB112" s="226">
        <f t="shared" si="58"/>
        <v>1127974</v>
      </c>
      <c r="AC112" s="227">
        <f t="shared" si="59"/>
        <v>33.333333333333329</v>
      </c>
      <c r="AD112" s="227">
        <f t="shared" si="56"/>
        <v>34.904116676506888</v>
      </c>
      <c r="AE112" s="161" t="s">
        <v>175</v>
      </c>
    </row>
    <row r="113" spans="1:31" s="244" customFormat="1" ht="57" customHeight="1">
      <c r="A113" s="236">
        <v>4</v>
      </c>
      <c r="B113" s="233"/>
      <c r="C113" s="259" t="s">
        <v>66</v>
      </c>
      <c r="D113" s="234" t="s">
        <v>66</v>
      </c>
      <c r="E113" s="259" t="s">
        <v>66</v>
      </c>
      <c r="F113" s="259" t="s">
        <v>66</v>
      </c>
      <c r="G113" s="259">
        <v>22</v>
      </c>
      <c r="H113" s="259">
        <v>18</v>
      </c>
      <c r="I113" s="315" t="s">
        <v>422</v>
      </c>
      <c r="J113" s="233" t="s">
        <v>423</v>
      </c>
      <c r="K113" s="245">
        <v>6</v>
      </c>
      <c r="L113" s="325">
        <f>6*187980</f>
        <v>1127880</v>
      </c>
      <c r="M113" s="245">
        <v>2</v>
      </c>
      <c r="N113" s="256">
        <f>2*187980</f>
        <v>375960</v>
      </c>
      <c r="O113" s="245">
        <v>1</v>
      </c>
      <c r="P113" s="325">
        <v>187980</v>
      </c>
      <c r="Q113" s="245">
        <v>1</v>
      </c>
      <c r="R113" s="325">
        <v>19771</v>
      </c>
      <c r="S113" s="245"/>
      <c r="T113" s="326"/>
      <c r="U113" s="245"/>
      <c r="V113" s="252"/>
      <c r="W113" s="245"/>
      <c r="X113" s="252"/>
      <c r="Y113" s="223">
        <f t="shared" si="57"/>
        <v>1</v>
      </c>
      <c r="Z113" s="224">
        <f t="shared" si="57"/>
        <v>19771</v>
      </c>
      <c r="AA113" s="225">
        <f t="shared" si="58"/>
        <v>3</v>
      </c>
      <c r="AB113" s="226">
        <f t="shared" si="58"/>
        <v>395731</v>
      </c>
      <c r="AC113" s="227">
        <f t="shared" si="59"/>
        <v>50</v>
      </c>
      <c r="AD113" s="227">
        <f t="shared" si="56"/>
        <v>35.086268042699572</v>
      </c>
      <c r="AE113" s="161" t="s">
        <v>175</v>
      </c>
    </row>
    <row r="114" spans="1:31" s="244" customFormat="1" ht="59.25" customHeight="1">
      <c r="A114" s="236">
        <v>5</v>
      </c>
      <c r="B114" s="233"/>
      <c r="C114" s="259" t="s">
        <v>66</v>
      </c>
      <c r="D114" s="234" t="s">
        <v>66</v>
      </c>
      <c r="E114" s="259" t="s">
        <v>66</v>
      </c>
      <c r="F114" s="259" t="s">
        <v>66</v>
      </c>
      <c r="G114" s="259">
        <v>22</v>
      </c>
      <c r="H114" s="322" t="s">
        <v>376</v>
      </c>
      <c r="I114" s="235" t="s">
        <v>424</v>
      </c>
      <c r="J114" s="233" t="s">
        <v>425</v>
      </c>
      <c r="K114" s="245">
        <f>348+74</f>
        <v>422</v>
      </c>
      <c r="L114" s="256">
        <f>4*P114</f>
        <v>299984</v>
      </c>
      <c r="M114" s="327">
        <v>40</v>
      </c>
      <c r="N114" s="256">
        <v>0</v>
      </c>
      <c r="O114" s="328">
        <f>10%*K114</f>
        <v>42.2</v>
      </c>
      <c r="P114" s="256">
        <v>74996</v>
      </c>
      <c r="Q114" s="245">
        <v>0</v>
      </c>
      <c r="R114" s="240">
        <f>SUM(T114:T114)</f>
        <v>0</v>
      </c>
      <c r="S114" s="245"/>
      <c r="T114" s="252"/>
      <c r="U114" s="245"/>
      <c r="V114" s="252"/>
      <c r="W114" s="245"/>
      <c r="X114" s="252"/>
      <c r="Y114" s="223">
        <f t="shared" si="57"/>
        <v>0</v>
      </c>
      <c r="Z114" s="224">
        <f t="shared" si="57"/>
        <v>0</v>
      </c>
      <c r="AA114" s="225">
        <f t="shared" si="58"/>
        <v>40</v>
      </c>
      <c r="AB114" s="226">
        <f t="shared" si="58"/>
        <v>0</v>
      </c>
      <c r="AC114" s="227">
        <f t="shared" si="59"/>
        <v>9.4786729857819907</v>
      </c>
      <c r="AD114" s="227">
        <f t="shared" si="56"/>
        <v>0</v>
      </c>
      <c r="AE114" s="161" t="s">
        <v>175</v>
      </c>
    </row>
    <row r="115" spans="1:31" s="244" customFormat="1" ht="42" customHeight="1">
      <c r="A115" s="236">
        <v>6</v>
      </c>
      <c r="B115" s="233"/>
      <c r="C115" s="259" t="s">
        <v>66</v>
      </c>
      <c r="D115" s="234" t="s">
        <v>66</v>
      </c>
      <c r="E115" s="259" t="s">
        <v>66</v>
      </c>
      <c r="F115" s="259" t="s">
        <v>66</v>
      </c>
      <c r="G115" s="259">
        <v>22</v>
      </c>
      <c r="H115" s="322" t="s">
        <v>67</v>
      </c>
      <c r="I115" s="235" t="s">
        <v>426</v>
      </c>
      <c r="J115" s="233" t="s">
        <v>427</v>
      </c>
      <c r="K115" s="245">
        <f>348+74</f>
        <v>422</v>
      </c>
      <c r="L115" s="256">
        <f>4*P115</f>
        <v>520632</v>
      </c>
      <c r="M115" s="245">
        <v>40</v>
      </c>
      <c r="N115" s="256">
        <v>0</v>
      </c>
      <c r="O115" s="328">
        <f>10%*K115</f>
        <v>42.2</v>
      </c>
      <c r="P115" s="256">
        <v>130158</v>
      </c>
      <c r="Q115" s="245">
        <v>10</v>
      </c>
      <c r="R115" s="240">
        <f>SUM(T115:T115)</f>
        <v>0</v>
      </c>
      <c r="S115" s="245"/>
      <c r="T115" s="252"/>
      <c r="U115" s="245"/>
      <c r="V115" s="252"/>
      <c r="W115" s="245"/>
      <c r="X115" s="252"/>
      <c r="Y115" s="223">
        <f t="shared" si="57"/>
        <v>10</v>
      </c>
      <c r="Z115" s="224">
        <f t="shared" si="57"/>
        <v>0</v>
      </c>
      <c r="AA115" s="225">
        <f t="shared" si="58"/>
        <v>50</v>
      </c>
      <c r="AB115" s="226">
        <f t="shared" si="58"/>
        <v>0</v>
      </c>
      <c r="AC115" s="227">
        <f t="shared" si="59"/>
        <v>11.848341232227488</v>
      </c>
      <c r="AD115" s="227">
        <f t="shared" si="56"/>
        <v>0</v>
      </c>
      <c r="AE115" s="161" t="s">
        <v>175</v>
      </c>
    </row>
    <row r="116" spans="1:31" s="244" customFormat="1" ht="17.25" customHeight="1">
      <c r="A116" s="2325"/>
      <c r="B116" s="2326"/>
      <c r="C116" s="2326"/>
      <c r="D116" s="2326"/>
      <c r="E116" s="2326"/>
      <c r="F116" s="2326"/>
      <c r="G116" s="2326"/>
      <c r="H116" s="2326"/>
      <c r="I116" s="2326"/>
      <c r="J116" s="2326"/>
      <c r="K116" s="2326"/>
      <c r="L116" s="2326"/>
      <c r="M116" s="2326"/>
      <c r="N116" s="2326"/>
      <c r="O116" s="2326"/>
      <c r="P116" s="2326"/>
      <c r="Q116" s="2326"/>
      <c r="R116" s="2326"/>
      <c r="S116" s="2326"/>
      <c r="T116" s="2326"/>
      <c r="U116" s="2326"/>
      <c r="V116" s="2326"/>
      <c r="W116" s="2326"/>
      <c r="X116" s="2326"/>
      <c r="Y116" s="2326"/>
      <c r="Z116" s="2326"/>
      <c r="AA116" s="2326"/>
      <c r="AB116" s="2326"/>
      <c r="AC116" s="2326"/>
      <c r="AD116" s="2326"/>
      <c r="AE116" s="2327"/>
    </row>
    <row r="117" spans="1:31" s="69" customFormat="1" ht="21" customHeight="1">
      <c r="A117" s="731">
        <v>2</v>
      </c>
      <c r="B117" s="67"/>
      <c r="C117" s="67"/>
      <c r="D117" s="67"/>
      <c r="E117" s="67"/>
      <c r="F117" s="67"/>
      <c r="G117" s="67"/>
      <c r="H117" s="67"/>
      <c r="I117" s="68" t="s">
        <v>116</v>
      </c>
      <c r="J117" s="67"/>
      <c r="K117" s="67"/>
      <c r="L117" s="67"/>
      <c r="M117" s="67"/>
      <c r="N117" s="67"/>
      <c r="O117" s="67"/>
      <c r="P117" s="67"/>
      <c r="Q117" s="67"/>
      <c r="R117" s="67"/>
      <c r="S117" s="67"/>
      <c r="T117" s="67"/>
      <c r="U117" s="67"/>
      <c r="V117" s="67"/>
      <c r="W117" s="67"/>
      <c r="X117" s="67"/>
      <c r="Y117" s="366"/>
      <c r="Z117" s="67"/>
      <c r="AA117" s="67"/>
      <c r="AB117" s="67"/>
      <c r="AC117" s="67"/>
      <c r="AD117" s="67"/>
      <c r="AE117" s="67"/>
    </row>
    <row r="118" spans="1:31" s="1513" customFormat="1" ht="60" customHeight="1">
      <c r="A118" s="1300"/>
      <c r="B118" s="1300"/>
      <c r="C118" s="1300">
        <v>5</v>
      </c>
      <c r="D118" s="1299" t="s">
        <v>66</v>
      </c>
      <c r="E118" s="1299" t="s">
        <v>66</v>
      </c>
      <c r="F118" s="1300"/>
      <c r="G118" s="1300"/>
      <c r="H118" s="1300"/>
      <c r="I118" s="1515" t="s">
        <v>1662</v>
      </c>
      <c r="J118" s="575" t="s">
        <v>1038</v>
      </c>
      <c r="K118" s="1524">
        <v>1</v>
      </c>
      <c r="L118" s="1525">
        <v>26459369097.600002</v>
      </c>
      <c r="M118" s="1526">
        <v>0.34</v>
      </c>
      <c r="N118" s="1527">
        <f>SUM(N119:N134)</f>
        <v>1988983765</v>
      </c>
      <c r="O118" s="1526">
        <v>0.17</v>
      </c>
      <c r="P118" s="1528">
        <v>2891683156</v>
      </c>
      <c r="Q118" s="1529">
        <f>SUM(Q119:Q134)/16</f>
        <v>2.07E-2</v>
      </c>
      <c r="R118" s="1530">
        <f>SUM(R119:R134)</f>
        <v>151521213</v>
      </c>
      <c r="S118" s="1531">
        <v>0</v>
      </c>
      <c r="T118" s="1530"/>
      <c r="U118" s="1531">
        <v>0</v>
      </c>
      <c r="V118" s="1530">
        <f>SUM(V119:V134)</f>
        <v>0</v>
      </c>
      <c r="W118" s="1531">
        <v>0</v>
      </c>
      <c r="X118" s="1527">
        <f>Z118-V118-T118-R118</f>
        <v>0</v>
      </c>
      <c r="Y118" s="1529">
        <f>Q118+S118+U118+W118</f>
        <v>2.07E-2</v>
      </c>
      <c r="Z118" s="1530">
        <f>SUM(Z119:Z134)</f>
        <v>151521213</v>
      </c>
      <c r="AA118" s="1532">
        <f>Y118+M118</f>
        <v>0.36070000000000002</v>
      </c>
      <c r="AB118" s="1530">
        <f>SUM(AB119:AB135)</f>
        <v>2140504978</v>
      </c>
      <c r="AC118" s="1532">
        <f>(AA118/K118)*100%</f>
        <v>0.36070000000000002</v>
      </c>
      <c r="AD118" s="1532">
        <f>AB118/L118</f>
        <v>8.0897808640273086E-2</v>
      </c>
      <c r="AE118" s="1533" t="s">
        <v>2250</v>
      </c>
    </row>
    <row r="119" spans="1:31" s="1298" customFormat="1" ht="38.25">
      <c r="A119" s="1314"/>
      <c r="B119" s="1314"/>
      <c r="C119" s="1314">
        <v>5</v>
      </c>
      <c r="D119" s="1534" t="s">
        <v>66</v>
      </c>
      <c r="E119" s="1534" t="s">
        <v>66</v>
      </c>
      <c r="F119" s="1314"/>
      <c r="G119" s="1534" t="s">
        <v>65</v>
      </c>
      <c r="H119" s="1534"/>
      <c r="I119" s="1535" t="s">
        <v>195</v>
      </c>
      <c r="J119" s="1380" t="s">
        <v>2251</v>
      </c>
      <c r="K119" s="1318">
        <v>1</v>
      </c>
      <c r="L119" s="1516">
        <v>2851744390.4000001</v>
      </c>
      <c r="M119" s="1318">
        <v>0.34</v>
      </c>
      <c r="N119" s="1311">
        <v>161029021</v>
      </c>
      <c r="O119" s="1318">
        <v>0.17</v>
      </c>
      <c r="P119" s="1311">
        <v>305400000</v>
      </c>
      <c r="Q119" s="1536">
        <v>0.02</v>
      </c>
      <c r="R119" s="1311">
        <v>36829113</v>
      </c>
      <c r="S119" s="1537">
        <v>0</v>
      </c>
      <c r="T119" s="1311">
        <v>0</v>
      </c>
      <c r="U119" s="1537">
        <v>0</v>
      </c>
      <c r="V119" s="1311">
        <v>0</v>
      </c>
      <c r="W119" s="1537">
        <v>0</v>
      </c>
      <c r="X119" s="1311">
        <v>0</v>
      </c>
      <c r="Y119" s="1536">
        <f t="shared" ref="Y119:Y149" si="60">Q119+S119+U119+W119</f>
        <v>0.02</v>
      </c>
      <c r="Z119" s="1538">
        <f>X119+V119+T119+R119</f>
        <v>36829113</v>
      </c>
      <c r="AA119" s="1539">
        <f t="shared" ref="AA119:AB141" si="61">Y119+M119</f>
        <v>0.36000000000000004</v>
      </c>
      <c r="AB119" s="1538">
        <f>Z119+N119</f>
        <v>197858134</v>
      </c>
      <c r="AC119" s="1539">
        <f>(AA119/K119)*100%</f>
        <v>0.36000000000000004</v>
      </c>
      <c r="AD119" s="1540">
        <f>AB119/L119</f>
        <v>6.9381440589858553E-2</v>
      </c>
      <c r="AE119" s="1314"/>
    </row>
    <row r="120" spans="1:31" s="1298" customFormat="1" ht="51">
      <c r="A120" s="1314"/>
      <c r="B120" s="1314"/>
      <c r="C120" s="1314"/>
      <c r="D120" s="1534"/>
      <c r="E120" s="1534"/>
      <c r="F120" s="1314"/>
      <c r="G120" s="1534"/>
      <c r="H120" s="1534"/>
      <c r="I120" s="1535" t="s">
        <v>2252</v>
      </c>
      <c r="J120" s="1541" t="s">
        <v>2253</v>
      </c>
      <c r="K120" s="1318">
        <v>1</v>
      </c>
      <c r="L120" s="1516">
        <v>6281600470.3999996</v>
      </c>
      <c r="M120" s="1318">
        <v>0.34</v>
      </c>
      <c r="N120" s="1311">
        <v>338436050</v>
      </c>
      <c r="O120" s="1318">
        <v>0.17</v>
      </c>
      <c r="P120" s="1311">
        <v>509340384</v>
      </c>
      <c r="Q120" s="1536">
        <v>0.02</v>
      </c>
      <c r="R120" s="1311">
        <v>17589500</v>
      </c>
      <c r="S120" s="1537">
        <v>0</v>
      </c>
      <c r="T120" s="1311">
        <v>0</v>
      </c>
      <c r="U120" s="1537">
        <v>0</v>
      </c>
      <c r="V120" s="1311">
        <v>0</v>
      </c>
      <c r="W120" s="1537">
        <v>0</v>
      </c>
      <c r="X120" s="1311">
        <v>0</v>
      </c>
      <c r="Y120" s="1536">
        <f t="shared" si="60"/>
        <v>0.02</v>
      </c>
      <c r="Z120" s="1538">
        <f>X120+V120+T120+R120</f>
        <v>17589500</v>
      </c>
      <c r="AA120" s="1539">
        <f t="shared" si="61"/>
        <v>0.36000000000000004</v>
      </c>
      <c r="AB120" s="1538">
        <f t="shared" si="61"/>
        <v>356025550</v>
      </c>
      <c r="AC120" s="1539">
        <f t="shared" ref="AC120:AC183" si="62">(AA120/K120)*100%</f>
        <v>0.36000000000000004</v>
      </c>
      <c r="AD120" s="1540">
        <f t="shared" ref="AD120:AD183" si="63">AB120/L120</f>
        <v>5.6677522182070429E-2</v>
      </c>
      <c r="AE120" s="1314"/>
    </row>
    <row r="121" spans="1:31" s="1298" customFormat="1" ht="38.25">
      <c r="A121" s="1314"/>
      <c r="B121" s="1314"/>
      <c r="C121" s="1314">
        <v>5</v>
      </c>
      <c r="D121" s="1534" t="s">
        <v>66</v>
      </c>
      <c r="E121" s="1534" t="s">
        <v>66</v>
      </c>
      <c r="F121" s="1314"/>
      <c r="G121" s="1534" t="s">
        <v>198</v>
      </c>
      <c r="H121" s="1534"/>
      <c r="I121" s="1535" t="s">
        <v>199</v>
      </c>
      <c r="J121" s="1314" t="s">
        <v>2254</v>
      </c>
      <c r="K121" s="1318">
        <v>1</v>
      </c>
      <c r="L121" s="1516">
        <v>2228926080</v>
      </c>
      <c r="M121" s="1318">
        <v>0.34</v>
      </c>
      <c r="N121" s="1311">
        <v>174972534</v>
      </c>
      <c r="O121" s="1318">
        <v>0.17</v>
      </c>
      <c r="P121" s="1311">
        <v>190293522</v>
      </c>
      <c r="Q121" s="1536">
        <v>0.05</v>
      </c>
      <c r="R121" s="1311">
        <v>14447000</v>
      </c>
      <c r="S121" s="1537">
        <v>0</v>
      </c>
      <c r="T121" s="1311">
        <v>0</v>
      </c>
      <c r="U121" s="1537">
        <v>0</v>
      </c>
      <c r="V121" s="1311">
        <v>0</v>
      </c>
      <c r="W121" s="1537">
        <v>0</v>
      </c>
      <c r="X121" s="1311">
        <v>0</v>
      </c>
      <c r="Y121" s="1536">
        <f t="shared" si="60"/>
        <v>0.05</v>
      </c>
      <c r="Z121" s="1538">
        <f t="shared" ref="Z121:Z134" si="64">X121+V121+T121+R121</f>
        <v>14447000</v>
      </c>
      <c r="AA121" s="1539">
        <f t="shared" si="61"/>
        <v>0.39</v>
      </c>
      <c r="AB121" s="1538">
        <f t="shared" si="61"/>
        <v>189419534</v>
      </c>
      <c r="AC121" s="1539">
        <f t="shared" si="62"/>
        <v>0.39</v>
      </c>
      <c r="AD121" s="1540">
        <f t="shared" si="63"/>
        <v>8.4982420771890291E-2</v>
      </c>
      <c r="AE121" s="1314"/>
    </row>
    <row r="122" spans="1:31" s="1298" customFormat="1" ht="32.25" customHeight="1">
      <c r="A122" s="1314"/>
      <c r="B122" s="1314"/>
      <c r="C122" s="1314">
        <v>5</v>
      </c>
      <c r="D122" s="1534" t="s">
        <v>66</v>
      </c>
      <c r="E122" s="1534" t="s">
        <v>66</v>
      </c>
      <c r="F122" s="1314"/>
      <c r="G122" s="1534" t="s">
        <v>93</v>
      </c>
      <c r="H122" s="1534"/>
      <c r="I122" s="1535" t="s">
        <v>200</v>
      </c>
      <c r="J122" s="1380" t="s">
        <v>2255</v>
      </c>
      <c r="K122" s="1318">
        <v>1</v>
      </c>
      <c r="L122" s="1516">
        <v>2622831120</v>
      </c>
      <c r="M122" s="1318">
        <v>0.34</v>
      </c>
      <c r="N122" s="1311">
        <v>398000000</v>
      </c>
      <c r="O122" s="1318">
        <v>0.17</v>
      </c>
      <c r="P122" s="1311">
        <v>458259724</v>
      </c>
      <c r="Q122" s="1536">
        <v>1.2E-2</v>
      </c>
      <c r="R122" s="1311">
        <v>46000000</v>
      </c>
      <c r="S122" s="1537">
        <v>0</v>
      </c>
      <c r="T122" s="1311">
        <v>0</v>
      </c>
      <c r="U122" s="1537">
        <v>0</v>
      </c>
      <c r="V122" s="1311">
        <v>0</v>
      </c>
      <c r="W122" s="1537">
        <v>0</v>
      </c>
      <c r="X122" s="1311">
        <v>0</v>
      </c>
      <c r="Y122" s="1536">
        <f t="shared" si="60"/>
        <v>1.2E-2</v>
      </c>
      <c r="Z122" s="1538">
        <f t="shared" si="64"/>
        <v>46000000</v>
      </c>
      <c r="AA122" s="1539">
        <f t="shared" si="61"/>
        <v>0.35200000000000004</v>
      </c>
      <c r="AB122" s="1538">
        <f t="shared" si="61"/>
        <v>444000000</v>
      </c>
      <c r="AC122" s="1539">
        <f t="shared" si="62"/>
        <v>0.35200000000000004</v>
      </c>
      <c r="AD122" s="1540">
        <f t="shared" si="63"/>
        <v>0.16928272530181052</v>
      </c>
      <c r="AE122" s="1314"/>
    </row>
    <row r="123" spans="1:31" s="1298" customFormat="1" ht="47.25" customHeight="1">
      <c r="A123" s="1314"/>
      <c r="B123" s="1314"/>
      <c r="C123" s="1314"/>
      <c r="D123" s="1534"/>
      <c r="E123" s="1534"/>
      <c r="F123" s="1314"/>
      <c r="G123" s="1534"/>
      <c r="H123" s="1534"/>
      <c r="I123" s="1535" t="s">
        <v>1410</v>
      </c>
      <c r="J123" s="1380" t="s">
        <v>2256</v>
      </c>
      <c r="K123" s="1318">
        <v>1</v>
      </c>
      <c r="L123" s="1516">
        <v>178057888</v>
      </c>
      <c r="M123" s="1318">
        <v>0.34</v>
      </c>
      <c r="N123" s="1311">
        <v>10450000</v>
      </c>
      <c r="O123" s="1318">
        <v>0.17</v>
      </c>
      <c r="P123" s="1311">
        <v>18400000</v>
      </c>
      <c r="Q123" s="1540">
        <v>2.3E-2</v>
      </c>
      <c r="R123" s="1311">
        <v>0</v>
      </c>
      <c r="S123" s="1537">
        <v>0</v>
      </c>
      <c r="T123" s="1311">
        <v>0</v>
      </c>
      <c r="U123" s="1537">
        <v>0</v>
      </c>
      <c r="V123" s="1311">
        <v>0</v>
      </c>
      <c r="W123" s="1537">
        <v>0</v>
      </c>
      <c r="X123" s="1311">
        <v>0</v>
      </c>
      <c r="Y123" s="1536">
        <f t="shared" si="60"/>
        <v>2.3E-2</v>
      </c>
      <c r="Z123" s="1538">
        <f t="shared" si="64"/>
        <v>0</v>
      </c>
      <c r="AA123" s="1539">
        <f t="shared" si="61"/>
        <v>0.36300000000000004</v>
      </c>
      <c r="AB123" s="1538">
        <f t="shared" si="61"/>
        <v>10450000</v>
      </c>
      <c r="AC123" s="1539">
        <f t="shared" si="62"/>
        <v>0.36300000000000004</v>
      </c>
      <c r="AD123" s="1540">
        <f t="shared" si="63"/>
        <v>5.868877878636862E-2</v>
      </c>
      <c r="AE123" s="1314"/>
    </row>
    <row r="124" spans="1:31" s="1298" customFormat="1" ht="37.5" customHeight="1">
      <c r="A124" s="1314"/>
      <c r="B124" s="1314"/>
      <c r="C124" s="1314">
        <v>5</v>
      </c>
      <c r="D124" s="1534" t="s">
        <v>66</v>
      </c>
      <c r="E124" s="1534" t="s">
        <v>66</v>
      </c>
      <c r="F124" s="1314"/>
      <c r="G124" s="1534" t="s">
        <v>202</v>
      </c>
      <c r="H124" s="1534"/>
      <c r="I124" s="1535" t="s">
        <v>203</v>
      </c>
      <c r="J124" s="1380" t="s">
        <v>621</v>
      </c>
      <c r="K124" s="1318">
        <v>1</v>
      </c>
      <c r="L124" s="1516">
        <v>1427473435.2</v>
      </c>
      <c r="M124" s="1318">
        <v>0.34</v>
      </c>
      <c r="N124" s="1311">
        <v>73062000</v>
      </c>
      <c r="O124" s="1318">
        <v>0.17</v>
      </c>
      <c r="P124" s="1311">
        <v>27631620</v>
      </c>
      <c r="Q124" s="1540">
        <v>1.4999999999999999E-2</v>
      </c>
      <c r="R124" s="1314">
        <v>0</v>
      </c>
      <c r="S124" s="1537">
        <v>0</v>
      </c>
      <c r="T124" s="1311">
        <v>0</v>
      </c>
      <c r="U124" s="1537">
        <v>0</v>
      </c>
      <c r="V124" s="1311">
        <v>0</v>
      </c>
      <c r="W124" s="1537">
        <v>0</v>
      </c>
      <c r="X124" s="1311">
        <v>0</v>
      </c>
      <c r="Y124" s="1536">
        <f t="shared" si="60"/>
        <v>1.4999999999999999E-2</v>
      </c>
      <c r="Z124" s="1538">
        <f t="shared" si="64"/>
        <v>0</v>
      </c>
      <c r="AA124" s="1539">
        <f t="shared" si="61"/>
        <v>0.35500000000000004</v>
      </c>
      <c r="AB124" s="1538">
        <f t="shared" si="61"/>
        <v>73062000</v>
      </c>
      <c r="AC124" s="1539">
        <f t="shared" si="62"/>
        <v>0.35500000000000004</v>
      </c>
      <c r="AD124" s="1540">
        <f t="shared" si="63"/>
        <v>5.1182738815565731E-2</v>
      </c>
      <c r="AE124" s="1314"/>
    </row>
    <row r="125" spans="1:31" s="1298" customFormat="1" ht="52.5" customHeight="1">
      <c r="A125" s="1314"/>
      <c r="B125" s="1314"/>
      <c r="C125" s="1314">
        <v>5</v>
      </c>
      <c r="D125" s="1534" t="s">
        <v>66</v>
      </c>
      <c r="E125" s="1534" t="s">
        <v>66</v>
      </c>
      <c r="F125" s="1314"/>
      <c r="G125" s="1534" t="s">
        <v>417</v>
      </c>
      <c r="H125" s="1534"/>
      <c r="I125" s="1535" t="s">
        <v>204</v>
      </c>
      <c r="J125" s="1535" t="s">
        <v>2257</v>
      </c>
      <c r="K125" s="1318">
        <v>1</v>
      </c>
      <c r="L125" s="1516">
        <v>813429920</v>
      </c>
      <c r="M125" s="1318">
        <v>0.34</v>
      </c>
      <c r="N125" s="1311">
        <v>50968650</v>
      </c>
      <c r="O125" s="1318">
        <v>0.17</v>
      </c>
      <c r="P125" s="1311">
        <v>27450685</v>
      </c>
      <c r="Q125" s="1540">
        <v>2.1000000000000001E-2</v>
      </c>
      <c r="R125" s="1314">
        <v>0</v>
      </c>
      <c r="S125" s="1537">
        <v>0</v>
      </c>
      <c r="T125" s="1311">
        <v>0</v>
      </c>
      <c r="U125" s="1537">
        <v>0</v>
      </c>
      <c r="V125" s="1311">
        <v>0</v>
      </c>
      <c r="W125" s="1537">
        <v>0</v>
      </c>
      <c r="X125" s="1311">
        <v>0</v>
      </c>
      <c r="Y125" s="1536">
        <f t="shared" si="60"/>
        <v>2.1000000000000001E-2</v>
      </c>
      <c r="Z125" s="1538">
        <f t="shared" si="64"/>
        <v>0</v>
      </c>
      <c r="AA125" s="1539">
        <f t="shared" si="61"/>
        <v>0.36100000000000004</v>
      </c>
      <c r="AB125" s="1538">
        <f t="shared" si="61"/>
        <v>50968650</v>
      </c>
      <c r="AC125" s="1539">
        <f t="shared" si="62"/>
        <v>0.36100000000000004</v>
      </c>
      <c r="AD125" s="1540">
        <f t="shared" si="63"/>
        <v>6.2658931945852203E-2</v>
      </c>
      <c r="AE125" s="1314"/>
    </row>
    <row r="126" spans="1:31" s="1298" customFormat="1" ht="38.25">
      <c r="A126" s="1314"/>
      <c r="B126" s="1314"/>
      <c r="C126" s="1314">
        <v>5</v>
      </c>
      <c r="D126" s="1534" t="s">
        <v>66</v>
      </c>
      <c r="E126" s="1534" t="s">
        <v>66</v>
      </c>
      <c r="F126" s="1314"/>
      <c r="G126" s="1534" t="s">
        <v>160</v>
      </c>
      <c r="H126" s="1534"/>
      <c r="I126" s="1535" t="s">
        <v>205</v>
      </c>
      <c r="J126" s="1380" t="s">
        <v>2258</v>
      </c>
      <c r="K126" s="1318">
        <v>1</v>
      </c>
      <c r="L126" s="1516">
        <v>1379884582.4000001</v>
      </c>
      <c r="M126" s="1318">
        <v>0.34</v>
      </c>
      <c r="N126" s="1311">
        <v>34782535</v>
      </c>
      <c r="O126" s="1318">
        <v>0.17</v>
      </c>
      <c r="P126" s="1311">
        <v>28641250</v>
      </c>
      <c r="Q126" s="1540">
        <v>2.1000000000000001E-2</v>
      </c>
      <c r="R126" s="1314">
        <v>0</v>
      </c>
      <c r="S126" s="1537">
        <v>0</v>
      </c>
      <c r="T126" s="1311">
        <v>0</v>
      </c>
      <c r="U126" s="1537">
        <v>0</v>
      </c>
      <c r="V126" s="1311">
        <v>0</v>
      </c>
      <c r="W126" s="1537">
        <v>0</v>
      </c>
      <c r="X126" s="1311">
        <v>0</v>
      </c>
      <c r="Y126" s="1536">
        <f t="shared" si="60"/>
        <v>2.1000000000000001E-2</v>
      </c>
      <c r="Z126" s="1538">
        <f t="shared" si="64"/>
        <v>0</v>
      </c>
      <c r="AA126" s="1539">
        <f t="shared" si="61"/>
        <v>0.36100000000000004</v>
      </c>
      <c r="AB126" s="1538">
        <f t="shared" si="61"/>
        <v>34782535</v>
      </c>
      <c r="AC126" s="1539">
        <f t="shared" si="62"/>
        <v>0.36100000000000004</v>
      </c>
      <c r="AD126" s="1540">
        <f t="shared" si="63"/>
        <v>2.5206843705365252E-2</v>
      </c>
      <c r="AE126" s="1314"/>
    </row>
    <row r="127" spans="1:31" s="1298" customFormat="1" ht="25.5">
      <c r="A127" s="1314"/>
      <c r="B127" s="1314"/>
      <c r="C127" s="1314">
        <v>1</v>
      </c>
      <c r="D127" s="1534" t="s">
        <v>66</v>
      </c>
      <c r="E127" s="1534" t="s">
        <v>65</v>
      </c>
      <c r="F127" s="1534" t="s">
        <v>66</v>
      </c>
      <c r="G127" s="1534">
        <v>13</v>
      </c>
      <c r="H127" s="1534"/>
      <c r="I127" s="1535" t="s">
        <v>1674</v>
      </c>
      <c r="J127" s="1380" t="s">
        <v>1675</v>
      </c>
      <c r="K127" s="1318">
        <v>1</v>
      </c>
      <c r="L127" s="1516">
        <v>898808036.79999995</v>
      </c>
      <c r="M127" s="1318">
        <v>0.34</v>
      </c>
      <c r="N127" s="1311">
        <v>309296200</v>
      </c>
      <c r="O127" s="1318">
        <v>0.17</v>
      </c>
      <c r="P127" s="1311">
        <v>103227960</v>
      </c>
      <c r="Q127" s="1542">
        <v>1.84E-2</v>
      </c>
      <c r="R127" s="1311">
        <v>1900000</v>
      </c>
      <c r="S127" s="1537">
        <v>0</v>
      </c>
      <c r="T127" s="1311">
        <v>0</v>
      </c>
      <c r="U127" s="1537">
        <v>0</v>
      </c>
      <c r="V127" s="1311">
        <v>0</v>
      </c>
      <c r="W127" s="1537">
        <v>0</v>
      </c>
      <c r="X127" s="1311">
        <v>0</v>
      </c>
      <c r="Y127" s="1536">
        <f t="shared" si="60"/>
        <v>1.84E-2</v>
      </c>
      <c r="Z127" s="1538">
        <f t="shared" si="64"/>
        <v>1900000</v>
      </c>
      <c r="AA127" s="1539">
        <f t="shared" si="61"/>
        <v>0.35840000000000005</v>
      </c>
      <c r="AB127" s="1538">
        <f t="shared" si="61"/>
        <v>311196200</v>
      </c>
      <c r="AC127" s="1539">
        <f t="shared" si="62"/>
        <v>0.35840000000000005</v>
      </c>
      <c r="AD127" s="1540">
        <f t="shared" si="63"/>
        <v>0.34623210658856896</v>
      </c>
      <c r="AE127" s="1314"/>
    </row>
    <row r="128" spans="1:31" s="1298" customFormat="1" ht="38.25">
      <c r="A128" s="1314"/>
      <c r="B128" s="1314"/>
      <c r="C128" s="1314">
        <v>5</v>
      </c>
      <c r="D128" s="1534" t="s">
        <v>66</v>
      </c>
      <c r="E128" s="1534" t="s">
        <v>66</v>
      </c>
      <c r="F128" s="1314"/>
      <c r="G128" s="1534" t="s">
        <v>155</v>
      </c>
      <c r="H128" s="1534"/>
      <c r="I128" s="1535" t="s">
        <v>533</v>
      </c>
      <c r="J128" s="1380" t="s">
        <v>2259</v>
      </c>
      <c r="K128" s="1318">
        <v>1</v>
      </c>
      <c r="L128" s="1517">
        <v>177289292.80000001</v>
      </c>
      <c r="M128" s="1318">
        <v>0.34</v>
      </c>
      <c r="N128" s="1311">
        <v>11220000</v>
      </c>
      <c r="O128" s="1318">
        <v>0.17</v>
      </c>
      <c r="P128" s="1311">
        <v>13900000</v>
      </c>
      <c r="Q128" s="1543">
        <v>0.04</v>
      </c>
      <c r="R128" s="1311">
        <v>3460000</v>
      </c>
      <c r="S128" s="1537">
        <v>0</v>
      </c>
      <c r="T128" s="1311">
        <v>0</v>
      </c>
      <c r="U128" s="1537">
        <v>0</v>
      </c>
      <c r="V128" s="1311">
        <v>0</v>
      </c>
      <c r="W128" s="1537">
        <v>0</v>
      </c>
      <c r="X128" s="1311">
        <v>0</v>
      </c>
      <c r="Y128" s="1536">
        <f t="shared" si="60"/>
        <v>0.04</v>
      </c>
      <c r="Z128" s="1538">
        <f t="shared" si="64"/>
        <v>3460000</v>
      </c>
      <c r="AA128" s="1539">
        <f t="shared" si="61"/>
        <v>0.38</v>
      </c>
      <c r="AB128" s="1538">
        <f t="shared" si="61"/>
        <v>14680000</v>
      </c>
      <c r="AC128" s="1539">
        <f t="shared" si="62"/>
        <v>0.38</v>
      </c>
      <c r="AD128" s="1540">
        <f t="shared" si="63"/>
        <v>8.2802518799375571E-2</v>
      </c>
      <c r="AE128" s="1314"/>
    </row>
    <row r="129" spans="1:31" s="1298" customFormat="1" ht="63.75">
      <c r="A129" s="1314"/>
      <c r="B129" s="1314"/>
      <c r="C129" s="1314">
        <v>5</v>
      </c>
      <c r="D129" s="1534" t="s">
        <v>66</v>
      </c>
      <c r="E129" s="1534" t="s">
        <v>66</v>
      </c>
      <c r="F129" s="1314"/>
      <c r="G129" s="1534" t="s">
        <v>448</v>
      </c>
      <c r="H129" s="1534"/>
      <c r="I129" s="1535" t="s">
        <v>206</v>
      </c>
      <c r="J129" s="1380" t="s">
        <v>2260</v>
      </c>
      <c r="K129" s="1318">
        <v>1</v>
      </c>
      <c r="L129" s="1516">
        <v>2640636908.8000002</v>
      </c>
      <c r="M129" s="1318">
        <v>0.34</v>
      </c>
      <c r="N129" s="1311">
        <v>93064000</v>
      </c>
      <c r="O129" s="1318">
        <v>0.17</v>
      </c>
      <c r="P129" s="1311">
        <v>102107494</v>
      </c>
      <c r="Q129" s="1542">
        <v>9.7999999999999997E-3</v>
      </c>
      <c r="R129" s="1311">
        <v>996000</v>
      </c>
      <c r="S129" s="1537">
        <v>0</v>
      </c>
      <c r="T129" s="1311">
        <v>0</v>
      </c>
      <c r="U129" s="1537">
        <v>0</v>
      </c>
      <c r="V129" s="1311">
        <v>0</v>
      </c>
      <c r="W129" s="1537">
        <v>0</v>
      </c>
      <c r="X129" s="1311">
        <v>0</v>
      </c>
      <c r="Y129" s="1536">
        <f t="shared" si="60"/>
        <v>9.7999999999999997E-3</v>
      </c>
      <c r="Z129" s="1538">
        <f t="shared" si="64"/>
        <v>996000</v>
      </c>
      <c r="AA129" s="1539">
        <f t="shared" si="61"/>
        <v>0.3498</v>
      </c>
      <c r="AB129" s="1538">
        <f t="shared" si="61"/>
        <v>94060000</v>
      </c>
      <c r="AC129" s="1539">
        <f t="shared" si="62"/>
        <v>0.3498</v>
      </c>
      <c r="AD129" s="1540">
        <f t="shared" si="63"/>
        <v>3.562019438815775E-2</v>
      </c>
      <c r="AE129" s="1314"/>
    </row>
    <row r="130" spans="1:31" s="1298" customFormat="1" ht="38.25">
      <c r="A130" s="1314"/>
      <c r="B130" s="1314"/>
      <c r="C130" s="1314">
        <v>5</v>
      </c>
      <c r="D130" s="1534" t="s">
        <v>66</v>
      </c>
      <c r="E130" s="1534" t="s">
        <v>66</v>
      </c>
      <c r="F130" s="1314"/>
      <c r="G130" s="1534" t="s">
        <v>167</v>
      </c>
      <c r="H130" s="1534"/>
      <c r="I130" s="1535" t="s">
        <v>207</v>
      </c>
      <c r="J130" s="1385" t="s">
        <v>2261</v>
      </c>
      <c r="K130" s="1318">
        <v>1</v>
      </c>
      <c r="L130" s="1516">
        <v>1441116000</v>
      </c>
      <c r="M130" s="1318">
        <v>0.34</v>
      </c>
      <c r="N130" s="1311">
        <v>117909197</v>
      </c>
      <c r="O130" s="1318">
        <v>0.17</v>
      </c>
      <c r="P130" s="1311">
        <v>66100000</v>
      </c>
      <c r="Q130" s="1542">
        <v>3.7999999999999999E-2</v>
      </c>
      <c r="R130" s="1311">
        <v>15554600</v>
      </c>
      <c r="S130" s="1537">
        <v>0</v>
      </c>
      <c r="T130" s="1311">
        <v>0</v>
      </c>
      <c r="U130" s="1537">
        <v>0</v>
      </c>
      <c r="V130" s="1311">
        <v>0</v>
      </c>
      <c r="W130" s="1537">
        <v>0</v>
      </c>
      <c r="X130" s="1311">
        <v>0</v>
      </c>
      <c r="Y130" s="1536">
        <f t="shared" si="60"/>
        <v>3.7999999999999999E-2</v>
      </c>
      <c r="Z130" s="1538">
        <f t="shared" si="64"/>
        <v>15554600</v>
      </c>
      <c r="AA130" s="1539">
        <f t="shared" si="61"/>
        <v>0.378</v>
      </c>
      <c r="AB130" s="1538">
        <f t="shared" si="61"/>
        <v>133463797</v>
      </c>
      <c r="AC130" s="1539">
        <f t="shared" si="62"/>
        <v>0.378</v>
      </c>
      <c r="AD130" s="1540">
        <f t="shared" si="63"/>
        <v>9.2611418511764493E-2</v>
      </c>
      <c r="AE130" s="1314"/>
    </row>
    <row r="131" spans="1:31" s="1298" customFormat="1" ht="25.5">
      <c r="A131" s="1314"/>
      <c r="B131" s="1314"/>
      <c r="C131" s="1314">
        <v>1</v>
      </c>
      <c r="D131" s="1534" t="s">
        <v>66</v>
      </c>
      <c r="E131" s="1534" t="s">
        <v>65</v>
      </c>
      <c r="F131" s="1534" t="s">
        <v>66</v>
      </c>
      <c r="G131" s="1534">
        <v>19</v>
      </c>
      <c r="H131" s="1534"/>
      <c r="I131" s="1535" t="s">
        <v>2262</v>
      </c>
      <c r="J131" s="1380" t="s">
        <v>2263</v>
      </c>
      <c r="K131" s="1318">
        <v>1</v>
      </c>
      <c r="L131" s="1516">
        <v>115289280</v>
      </c>
      <c r="M131" s="1318">
        <v>0.34</v>
      </c>
      <c r="N131" s="1311">
        <v>25000000</v>
      </c>
      <c r="O131" s="1318">
        <v>0.17</v>
      </c>
      <c r="P131" s="1311">
        <v>39000000</v>
      </c>
      <c r="Q131" s="1542">
        <v>2.5000000000000001E-2</v>
      </c>
      <c r="R131" s="1311">
        <v>6000000</v>
      </c>
      <c r="S131" s="1537">
        <v>0</v>
      </c>
      <c r="T131" s="1311">
        <v>0</v>
      </c>
      <c r="U131" s="1537">
        <v>0</v>
      </c>
      <c r="V131" s="1311">
        <v>0</v>
      </c>
      <c r="W131" s="1537">
        <v>0</v>
      </c>
      <c r="X131" s="1311">
        <v>0</v>
      </c>
      <c r="Y131" s="1536">
        <f t="shared" si="60"/>
        <v>2.5000000000000001E-2</v>
      </c>
      <c r="Z131" s="1538">
        <f t="shared" si="64"/>
        <v>6000000</v>
      </c>
      <c r="AA131" s="1539">
        <f t="shared" si="61"/>
        <v>0.36500000000000005</v>
      </c>
      <c r="AB131" s="1538">
        <f t="shared" si="61"/>
        <v>31000000</v>
      </c>
      <c r="AC131" s="1539">
        <f t="shared" si="62"/>
        <v>0.36500000000000005</v>
      </c>
      <c r="AD131" s="1540">
        <f t="shared" si="63"/>
        <v>0.26888883337635555</v>
      </c>
      <c r="AE131" s="1314"/>
    </row>
    <row r="132" spans="1:31" s="1298" customFormat="1" ht="38.25">
      <c r="A132" s="1314"/>
      <c r="B132" s="1314"/>
      <c r="C132" s="1314">
        <v>5</v>
      </c>
      <c r="D132" s="1534" t="s">
        <v>66</v>
      </c>
      <c r="E132" s="1534" t="s">
        <v>65</v>
      </c>
      <c r="F132" s="1534" t="s">
        <v>66</v>
      </c>
      <c r="G132" s="1534" t="s">
        <v>376</v>
      </c>
      <c r="H132" s="1534"/>
      <c r="I132" s="1535" t="s">
        <v>208</v>
      </c>
      <c r="J132" s="1380" t="s">
        <v>2264</v>
      </c>
      <c r="K132" s="1318">
        <v>1</v>
      </c>
      <c r="L132" s="1516">
        <v>1769690448</v>
      </c>
      <c r="M132" s="1318">
        <v>0.34</v>
      </c>
      <c r="N132" s="1311">
        <v>21415000</v>
      </c>
      <c r="O132" s="1318">
        <v>0.17</v>
      </c>
      <c r="P132" s="1311">
        <v>61900000</v>
      </c>
      <c r="Q132" s="1542">
        <v>5.0000000000000001E-3</v>
      </c>
      <c r="R132" s="1311">
        <v>2545000</v>
      </c>
      <c r="S132" s="1537">
        <v>0</v>
      </c>
      <c r="T132" s="1311">
        <v>0</v>
      </c>
      <c r="U132" s="1537">
        <v>0</v>
      </c>
      <c r="V132" s="1311">
        <v>0</v>
      </c>
      <c r="W132" s="1537">
        <v>0</v>
      </c>
      <c r="X132" s="1311">
        <v>0</v>
      </c>
      <c r="Y132" s="1536">
        <f t="shared" si="60"/>
        <v>5.0000000000000001E-3</v>
      </c>
      <c r="Z132" s="1538">
        <f t="shared" si="64"/>
        <v>2545000</v>
      </c>
      <c r="AA132" s="1539">
        <f t="shared" si="61"/>
        <v>0.34500000000000003</v>
      </c>
      <c r="AB132" s="1538">
        <f t="shared" si="61"/>
        <v>23960000</v>
      </c>
      <c r="AC132" s="1539">
        <f t="shared" si="62"/>
        <v>0.34500000000000003</v>
      </c>
      <c r="AD132" s="1540">
        <f t="shared" si="63"/>
        <v>1.3539090990222715E-2</v>
      </c>
      <c r="AE132" s="1314"/>
    </row>
    <row r="133" spans="1:31" s="1298" customFormat="1" ht="25.5">
      <c r="A133" s="1314"/>
      <c r="B133" s="1314"/>
      <c r="C133" s="1314">
        <v>1</v>
      </c>
      <c r="D133" s="1534" t="s">
        <v>66</v>
      </c>
      <c r="E133" s="1534" t="s">
        <v>65</v>
      </c>
      <c r="F133" s="1534" t="s">
        <v>66</v>
      </c>
      <c r="G133" s="1314">
        <v>25</v>
      </c>
      <c r="H133" s="1314"/>
      <c r="I133" s="1535" t="s">
        <v>2265</v>
      </c>
      <c r="J133" s="1380" t="s">
        <v>2266</v>
      </c>
      <c r="K133" s="1318">
        <v>1</v>
      </c>
      <c r="L133" s="1518">
        <v>1246661414.4000001</v>
      </c>
      <c r="M133" s="1318">
        <v>0.34</v>
      </c>
      <c r="N133" s="1311">
        <v>88102799</v>
      </c>
      <c r="O133" s="1318">
        <v>0.17</v>
      </c>
      <c r="P133" s="1311">
        <v>101082004</v>
      </c>
      <c r="Q133" s="1542">
        <v>8.0000000000000002E-3</v>
      </c>
      <c r="R133" s="1311">
        <v>4900000</v>
      </c>
      <c r="S133" s="1537">
        <v>0</v>
      </c>
      <c r="T133" s="1311">
        <v>0</v>
      </c>
      <c r="U133" s="1537">
        <v>0</v>
      </c>
      <c r="V133" s="1311">
        <v>0</v>
      </c>
      <c r="W133" s="1537">
        <v>0</v>
      </c>
      <c r="X133" s="1311">
        <v>0</v>
      </c>
      <c r="Y133" s="1536">
        <f t="shared" si="60"/>
        <v>8.0000000000000002E-3</v>
      </c>
      <c r="Z133" s="1538">
        <f t="shared" si="64"/>
        <v>4900000</v>
      </c>
      <c r="AA133" s="1539">
        <f t="shared" si="61"/>
        <v>0.34800000000000003</v>
      </c>
      <c r="AB133" s="1538">
        <f t="shared" si="61"/>
        <v>93002799</v>
      </c>
      <c r="AC133" s="1539">
        <f t="shared" si="62"/>
        <v>0.34800000000000003</v>
      </c>
      <c r="AD133" s="1540">
        <f t="shared" si="63"/>
        <v>7.4601489968116871E-2</v>
      </c>
      <c r="AE133" s="1314"/>
    </row>
    <row r="134" spans="1:31" s="1298" customFormat="1" ht="51">
      <c r="A134" s="1314"/>
      <c r="B134" s="1314"/>
      <c r="C134" s="1314">
        <v>1</v>
      </c>
      <c r="D134" s="1534" t="s">
        <v>66</v>
      </c>
      <c r="E134" s="1534" t="s">
        <v>65</v>
      </c>
      <c r="F134" s="1534" t="s">
        <v>66</v>
      </c>
      <c r="G134" s="1314">
        <v>22</v>
      </c>
      <c r="H134" s="1314"/>
      <c r="I134" s="1535" t="s">
        <v>168</v>
      </c>
      <c r="J134" s="1385" t="s">
        <v>2267</v>
      </c>
      <c r="K134" s="1318">
        <v>1</v>
      </c>
      <c r="L134" s="1516">
        <v>1626091244.8</v>
      </c>
      <c r="M134" s="1318">
        <v>0.34</v>
      </c>
      <c r="N134" s="1311">
        <v>81275779</v>
      </c>
      <c r="O134" s="1318">
        <v>0.17</v>
      </c>
      <c r="P134" s="1311">
        <v>50805577</v>
      </c>
      <c r="Q134" s="1542">
        <v>5.0000000000000001E-3</v>
      </c>
      <c r="R134" s="1311">
        <v>1300000</v>
      </c>
      <c r="S134" s="1537">
        <v>0</v>
      </c>
      <c r="T134" s="1311">
        <v>0</v>
      </c>
      <c r="U134" s="1537">
        <v>0</v>
      </c>
      <c r="V134" s="1311">
        <v>0</v>
      </c>
      <c r="W134" s="1537">
        <v>0</v>
      </c>
      <c r="X134" s="1311">
        <v>0</v>
      </c>
      <c r="Y134" s="1536">
        <f t="shared" si="60"/>
        <v>5.0000000000000001E-3</v>
      </c>
      <c r="Z134" s="1538">
        <f t="shared" si="64"/>
        <v>1300000</v>
      </c>
      <c r="AA134" s="1539">
        <f t="shared" si="61"/>
        <v>0.34500000000000003</v>
      </c>
      <c r="AB134" s="1538">
        <f t="shared" si="61"/>
        <v>82575779</v>
      </c>
      <c r="AC134" s="1539">
        <f t="shared" si="62"/>
        <v>0.34500000000000003</v>
      </c>
      <c r="AD134" s="1540">
        <f t="shared" si="63"/>
        <v>5.0781762256002033E-2</v>
      </c>
      <c r="AE134" s="1314"/>
    </row>
    <row r="135" spans="1:31" s="1298" customFormat="1" ht="14.25">
      <c r="A135" s="1314"/>
      <c r="B135" s="1314"/>
      <c r="C135" s="1314"/>
      <c r="D135" s="1314"/>
      <c r="E135" s="1314"/>
      <c r="F135" s="1314"/>
      <c r="G135" s="1314"/>
      <c r="H135" s="1314"/>
      <c r="I135" s="1535"/>
      <c r="J135" s="1314"/>
      <c r="K135" s="1314"/>
      <c r="L135" s="1314"/>
      <c r="M135" s="1314"/>
      <c r="N135" s="1314"/>
      <c r="O135" s="1314"/>
      <c r="P135" s="1314"/>
      <c r="Q135" s="1314"/>
      <c r="R135" s="1314"/>
      <c r="S135" s="1314"/>
      <c r="T135" s="1311"/>
      <c r="U135" s="1314"/>
      <c r="V135" s="1314"/>
      <c r="W135" s="1314"/>
      <c r="X135" s="1311"/>
      <c r="Y135" s="1536"/>
      <c r="Z135" s="1530"/>
      <c r="AA135" s="1539"/>
      <c r="AB135" s="1538"/>
      <c r="AC135" s="1539"/>
      <c r="AD135" s="1540"/>
      <c r="AE135" s="1314"/>
    </row>
    <row r="136" spans="1:31" s="1298" customFormat="1" ht="43.5" customHeight="1">
      <c r="A136" s="1314"/>
      <c r="B136" s="1300" t="s">
        <v>2268</v>
      </c>
      <c r="C136" s="1314">
        <v>1</v>
      </c>
      <c r="D136" s="1534" t="s">
        <v>66</v>
      </c>
      <c r="E136" s="1534" t="s">
        <v>65</v>
      </c>
      <c r="F136" s="1534" t="s">
        <v>65</v>
      </c>
      <c r="G136" s="1314"/>
      <c r="H136" s="1314"/>
      <c r="I136" s="1544" t="s">
        <v>257</v>
      </c>
      <c r="J136" s="1314" t="s">
        <v>2269</v>
      </c>
      <c r="K136" s="1318">
        <v>1</v>
      </c>
      <c r="L136" s="1519">
        <v>610000000</v>
      </c>
      <c r="M136" s="1545">
        <v>0.34</v>
      </c>
      <c r="N136" s="1530">
        <f>N137</f>
        <v>88782000</v>
      </c>
      <c r="O136" s="1304">
        <v>0.17</v>
      </c>
      <c r="P136" s="1530">
        <f t="shared" ref="P136" si="65">P137</f>
        <v>50000000</v>
      </c>
      <c r="Q136" s="1529">
        <f>Q137</f>
        <v>2.5000000000000001E-2</v>
      </c>
      <c r="R136" s="1300">
        <v>0</v>
      </c>
      <c r="S136" s="1300">
        <v>0</v>
      </c>
      <c r="T136" s="1527">
        <f>SUM(T137)</f>
        <v>0</v>
      </c>
      <c r="U136" s="1300">
        <f>U137</f>
        <v>0</v>
      </c>
      <c r="V136" s="1530">
        <f>V137</f>
        <v>0</v>
      </c>
      <c r="W136" s="1300">
        <f>SUM(W137)</f>
        <v>0</v>
      </c>
      <c r="X136" s="1527">
        <f>SUM(X137)</f>
        <v>0</v>
      </c>
      <c r="Y136" s="1529">
        <f t="shared" si="60"/>
        <v>2.5000000000000001E-2</v>
      </c>
      <c r="Z136" s="1530">
        <f>Z137</f>
        <v>0</v>
      </c>
      <c r="AA136" s="1546">
        <f t="shared" si="61"/>
        <v>0.36500000000000005</v>
      </c>
      <c r="AB136" s="1530">
        <f>Z136+N136</f>
        <v>88782000</v>
      </c>
      <c r="AC136" s="1546">
        <f t="shared" si="62"/>
        <v>0.36500000000000005</v>
      </c>
      <c r="AD136" s="1532">
        <f t="shared" si="63"/>
        <v>0.14554426229508197</v>
      </c>
      <c r="AE136" s="1547"/>
    </row>
    <row r="137" spans="1:31" s="1298" customFormat="1" ht="38.25">
      <c r="A137" s="1314"/>
      <c r="B137" s="1314"/>
      <c r="C137" s="1314">
        <v>1</v>
      </c>
      <c r="D137" s="1534" t="s">
        <v>66</v>
      </c>
      <c r="E137" s="1534" t="s">
        <v>65</v>
      </c>
      <c r="F137" s="1534" t="s">
        <v>65</v>
      </c>
      <c r="G137" s="1314">
        <v>22</v>
      </c>
      <c r="H137" s="1314"/>
      <c r="I137" s="1535" t="s">
        <v>2270</v>
      </c>
      <c r="J137" s="1314" t="s">
        <v>2271</v>
      </c>
      <c r="K137" s="1318">
        <v>1</v>
      </c>
      <c r="L137" s="1519">
        <v>610000000</v>
      </c>
      <c r="M137" s="1548">
        <v>0.34</v>
      </c>
      <c r="N137" s="1311">
        <v>88782000</v>
      </c>
      <c r="O137" s="1548">
        <v>0.17</v>
      </c>
      <c r="P137" s="1311">
        <v>50000000</v>
      </c>
      <c r="Q137" s="1540">
        <v>2.5000000000000001E-2</v>
      </c>
      <c r="R137" s="1314">
        <v>0</v>
      </c>
      <c r="S137" s="1314">
        <v>0</v>
      </c>
      <c r="T137" s="1311">
        <v>0</v>
      </c>
      <c r="U137" s="1314">
        <v>0</v>
      </c>
      <c r="V137" s="1311">
        <v>0</v>
      </c>
      <c r="W137" s="1314">
        <v>0</v>
      </c>
      <c r="X137" s="1311">
        <v>0</v>
      </c>
      <c r="Y137" s="1536">
        <f t="shared" si="60"/>
        <v>2.5000000000000001E-2</v>
      </c>
      <c r="Z137" s="1538">
        <f>X137+V137+T137+R137</f>
        <v>0</v>
      </c>
      <c r="AA137" s="1539">
        <f>Y137+M137</f>
        <v>0.36500000000000005</v>
      </c>
      <c r="AB137" s="1538">
        <f>Z137+N137</f>
        <v>88782000</v>
      </c>
      <c r="AC137" s="1539">
        <f t="shared" si="62"/>
        <v>0.36500000000000005</v>
      </c>
      <c r="AD137" s="1540">
        <f t="shared" si="63"/>
        <v>0.14554426229508197</v>
      </c>
      <c r="AE137" s="1547"/>
    </row>
    <row r="138" spans="1:31" s="1298" customFormat="1" ht="14.25">
      <c r="A138" s="1314"/>
      <c r="B138" s="1314"/>
      <c r="C138" s="1314"/>
      <c r="D138" s="1314"/>
      <c r="E138" s="1314"/>
      <c r="F138" s="1314"/>
      <c r="G138" s="1314"/>
      <c r="H138" s="1314"/>
      <c r="I138" s="1535"/>
      <c r="J138" s="1314"/>
      <c r="K138" s="1314"/>
      <c r="L138" s="1547"/>
      <c r="M138" s="1549"/>
      <c r="N138" s="1314"/>
      <c r="O138" s="1549"/>
      <c r="P138" s="1314"/>
      <c r="Q138" s="1314"/>
      <c r="R138" s="1314"/>
      <c r="S138" s="1314">
        <v>0</v>
      </c>
      <c r="T138" s="1311"/>
      <c r="U138" s="1314"/>
      <c r="V138" s="1314"/>
      <c r="W138" s="1314"/>
      <c r="X138" s="1311"/>
      <c r="Y138" s="1536"/>
      <c r="Z138" s="1530"/>
      <c r="AA138" s="1539"/>
      <c r="AB138" s="1550"/>
      <c r="AC138" s="1539"/>
      <c r="AD138" s="1540"/>
      <c r="AE138" s="1547"/>
    </row>
    <row r="139" spans="1:31" s="1513" customFormat="1" ht="49.5" customHeight="1">
      <c r="A139" s="1300"/>
      <c r="B139" s="1300" t="s">
        <v>2268</v>
      </c>
      <c r="C139" s="1300">
        <v>5</v>
      </c>
      <c r="D139" s="1299" t="s">
        <v>66</v>
      </c>
      <c r="E139" s="1299" t="s">
        <v>161</v>
      </c>
      <c r="F139" s="1300"/>
      <c r="G139" s="1300"/>
      <c r="H139" s="1300"/>
      <c r="I139" s="1515" t="s">
        <v>1713</v>
      </c>
      <c r="J139" s="575" t="s">
        <v>1714</v>
      </c>
      <c r="K139" s="1524">
        <v>1</v>
      </c>
      <c r="L139" s="1525">
        <v>1025000000</v>
      </c>
      <c r="M139" s="1526">
        <v>0.34</v>
      </c>
      <c r="N139" s="1528">
        <v>26880000</v>
      </c>
      <c r="O139" s="1526">
        <v>0.17</v>
      </c>
      <c r="P139" s="1551">
        <f>P140+P141</f>
        <v>70965920</v>
      </c>
      <c r="Q139" s="1529">
        <f>Q141</f>
        <v>2E-3</v>
      </c>
      <c r="R139" s="1530">
        <f>SUM(R140:R141)</f>
        <v>1102000</v>
      </c>
      <c r="S139" s="1300">
        <v>0</v>
      </c>
      <c r="T139" s="1527">
        <f t="shared" ref="T139:X139" si="66">T140</f>
        <v>0</v>
      </c>
      <c r="U139" s="1300">
        <f t="shared" si="66"/>
        <v>0</v>
      </c>
      <c r="V139" s="1530">
        <f t="shared" si="66"/>
        <v>0</v>
      </c>
      <c r="W139" s="1300">
        <f t="shared" si="66"/>
        <v>0</v>
      </c>
      <c r="X139" s="1527">
        <f t="shared" si="66"/>
        <v>0</v>
      </c>
      <c r="Y139" s="1529">
        <f t="shared" si="60"/>
        <v>2E-3</v>
      </c>
      <c r="Z139" s="1530">
        <f>Z140</f>
        <v>0</v>
      </c>
      <c r="AA139" s="1546">
        <f t="shared" si="61"/>
        <v>0.34200000000000003</v>
      </c>
      <c r="AB139" s="1530">
        <f>Z139+R139</f>
        <v>1102000</v>
      </c>
      <c r="AC139" s="1546">
        <f t="shared" si="62"/>
        <v>0.34200000000000003</v>
      </c>
      <c r="AD139" s="1532">
        <f t="shared" si="63"/>
        <v>1.0751219512195123E-3</v>
      </c>
      <c r="AE139" s="1533" t="s">
        <v>2272</v>
      </c>
    </row>
    <row r="140" spans="1:31" s="1298" customFormat="1" ht="51">
      <c r="A140" s="1314"/>
      <c r="B140" s="1314"/>
      <c r="C140" s="1314">
        <v>5</v>
      </c>
      <c r="D140" s="1534" t="s">
        <v>66</v>
      </c>
      <c r="E140" s="1534" t="s">
        <v>161</v>
      </c>
      <c r="F140" s="1314"/>
      <c r="G140" s="1534" t="s">
        <v>66</v>
      </c>
      <c r="H140" s="1534"/>
      <c r="I140" s="1535" t="s">
        <v>1224</v>
      </c>
      <c r="J140" s="1314" t="s">
        <v>2273</v>
      </c>
      <c r="K140" s="1318">
        <v>1</v>
      </c>
      <c r="L140" s="1311">
        <v>420000000</v>
      </c>
      <c r="M140" s="1552">
        <v>0.34</v>
      </c>
      <c r="N140" s="1553">
        <v>26880000</v>
      </c>
      <c r="O140" s="1540"/>
      <c r="P140" s="1311">
        <v>0</v>
      </c>
      <c r="Q140" s="1314">
        <v>0</v>
      </c>
      <c r="R140" s="1311">
        <v>0</v>
      </c>
      <c r="S140" s="1314">
        <v>0</v>
      </c>
      <c r="T140" s="1311">
        <v>0</v>
      </c>
      <c r="U140" s="1314">
        <v>0</v>
      </c>
      <c r="V140" s="1311">
        <v>0</v>
      </c>
      <c r="W140" s="1314">
        <v>0</v>
      </c>
      <c r="X140" s="1311">
        <v>0</v>
      </c>
      <c r="Y140" s="1536">
        <f t="shared" si="60"/>
        <v>0</v>
      </c>
      <c r="Z140" s="1538">
        <f>X140+V140+T140+R140</f>
        <v>0</v>
      </c>
      <c r="AA140" s="1539">
        <f t="shared" si="61"/>
        <v>0.34</v>
      </c>
      <c r="AB140" s="1538">
        <f>Z140+N140</f>
        <v>26880000</v>
      </c>
      <c r="AC140" s="1539">
        <f t="shared" si="62"/>
        <v>0.34</v>
      </c>
      <c r="AD140" s="1540">
        <f t="shared" si="63"/>
        <v>6.4000000000000001E-2</v>
      </c>
      <c r="AE140" s="1314"/>
    </row>
    <row r="141" spans="1:31" s="1298" customFormat="1" ht="63.75">
      <c r="A141" s="1314"/>
      <c r="B141" s="1314"/>
      <c r="C141" s="1314">
        <v>1</v>
      </c>
      <c r="D141" s="1534" t="s">
        <v>66</v>
      </c>
      <c r="E141" s="1534" t="s">
        <v>65</v>
      </c>
      <c r="F141" s="1534" t="s">
        <v>161</v>
      </c>
      <c r="G141" s="1534">
        <v>44</v>
      </c>
      <c r="H141" s="1534"/>
      <c r="I141" s="1535" t="s">
        <v>2274</v>
      </c>
      <c r="J141" s="1314" t="s">
        <v>2275</v>
      </c>
      <c r="K141" s="1318">
        <v>1</v>
      </c>
      <c r="L141" s="1311">
        <v>605000000</v>
      </c>
      <c r="M141" s="1539">
        <v>0</v>
      </c>
      <c r="N141" s="1311">
        <v>0</v>
      </c>
      <c r="O141" s="1318">
        <v>0.17</v>
      </c>
      <c r="P141" s="1311">
        <v>70965920</v>
      </c>
      <c r="Q141" s="1536">
        <v>2E-3</v>
      </c>
      <c r="R141" s="1311">
        <v>1102000</v>
      </c>
      <c r="S141" s="1314"/>
      <c r="T141" s="1311"/>
      <c r="U141" s="1314"/>
      <c r="V141" s="1311"/>
      <c r="W141" s="1314"/>
      <c r="X141" s="1311"/>
      <c r="Y141" s="1536">
        <f t="shared" si="60"/>
        <v>2E-3</v>
      </c>
      <c r="Z141" s="1538"/>
      <c r="AA141" s="1539">
        <f t="shared" si="61"/>
        <v>2E-3</v>
      </c>
      <c r="AB141" s="1538">
        <f>Z141+N141</f>
        <v>0</v>
      </c>
      <c r="AC141" s="1539">
        <f t="shared" si="62"/>
        <v>2E-3</v>
      </c>
      <c r="AD141" s="1540">
        <f t="shared" si="63"/>
        <v>0</v>
      </c>
      <c r="AE141" s="1314"/>
    </row>
    <row r="142" spans="1:31" s="1298" customFormat="1" ht="15" thickBot="1">
      <c r="A142" s="1314"/>
      <c r="B142" s="1314"/>
      <c r="C142" s="1314"/>
      <c r="D142" s="1314"/>
      <c r="E142" s="1314"/>
      <c r="F142" s="1314"/>
      <c r="G142" s="1314"/>
      <c r="H142" s="1314"/>
      <c r="I142" s="1535"/>
      <c r="J142" s="1314"/>
      <c r="K142" s="1314"/>
      <c r="L142" s="1314"/>
      <c r="M142" s="1314"/>
      <c r="N142" s="1314"/>
      <c r="O142" s="1314"/>
      <c r="P142" s="1314"/>
      <c r="Q142" s="1314"/>
      <c r="R142" s="1314"/>
      <c r="S142" s="1314"/>
      <c r="T142" s="1311"/>
      <c r="U142" s="1314"/>
      <c r="V142" s="1314"/>
      <c r="W142" s="1314"/>
      <c r="X142" s="1311"/>
      <c r="Y142" s="1536"/>
      <c r="Z142" s="1530"/>
      <c r="AA142" s="1539"/>
      <c r="AB142" s="1538"/>
      <c r="AC142" s="1539"/>
      <c r="AD142" s="1540"/>
      <c r="AE142" s="1314"/>
    </row>
    <row r="143" spans="1:31" s="1297" customFormat="1" ht="63.75" customHeight="1" thickBot="1">
      <c r="A143" s="1299" t="s">
        <v>196</v>
      </c>
      <c r="B143" s="2401" t="s">
        <v>2268</v>
      </c>
      <c r="C143" s="1300">
        <v>1</v>
      </c>
      <c r="D143" s="1299" t="s">
        <v>66</v>
      </c>
      <c r="E143" s="1299" t="s">
        <v>65</v>
      </c>
      <c r="F143" s="1299" t="s">
        <v>155</v>
      </c>
      <c r="G143" s="1300"/>
      <c r="H143" s="1300"/>
      <c r="I143" s="1554" t="s">
        <v>2276</v>
      </c>
      <c r="J143" s="1555" t="s">
        <v>2277</v>
      </c>
      <c r="K143" s="1556">
        <v>0.95</v>
      </c>
      <c r="L143" s="1557">
        <v>35672637500</v>
      </c>
      <c r="M143" s="1520">
        <f>SUM(M144:M147)/4</f>
        <v>0.30416666666666664</v>
      </c>
      <c r="N143" s="1558">
        <v>4207055720</v>
      </c>
      <c r="O143" s="1559">
        <v>0.16</v>
      </c>
      <c r="P143" s="1558">
        <v>1048655009</v>
      </c>
      <c r="Q143" s="1560">
        <f>SUM(Q144:Q147)/4</f>
        <v>1.0500000000000001E-2</v>
      </c>
      <c r="R143" s="1561">
        <f>R145</f>
        <v>7795250</v>
      </c>
      <c r="S143" s="1562">
        <v>0</v>
      </c>
      <c r="T143" s="1561">
        <f>SUM(T144:T147)</f>
        <v>0</v>
      </c>
      <c r="U143" s="1562">
        <v>0</v>
      </c>
      <c r="V143" s="1563">
        <f>SUM(V144:V147)</f>
        <v>0</v>
      </c>
      <c r="W143" s="1562">
        <v>0</v>
      </c>
      <c r="X143" s="1561">
        <f>SUM(X144:X147)</f>
        <v>0</v>
      </c>
      <c r="Y143" s="1564">
        <f t="shared" si="60"/>
        <v>1.0500000000000001E-2</v>
      </c>
      <c r="Z143" s="1563">
        <f>SUM(Z144:Z147)</f>
        <v>13375050</v>
      </c>
      <c r="AA143" s="1565">
        <f>Y143+M143</f>
        <v>0.31466666666666665</v>
      </c>
      <c r="AB143" s="1563">
        <f t="shared" ref="AB143" si="67">Z143+N143</f>
        <v>4220430770</v>
      </c>
      <c r="AC143" s="1566">
        <f t="shared" si="62"/>
        <v>0.33122807017543859</v>
      </c>
      <c r="AD143" s="1560">
        <f t="shared" si="63"/>
        <v>0.11831002880008522</v>
      </c>
      <c r="AE143" s="1567" t="s">
        <v>2272</v>
      </c>
    </row>
    <row r="144" spans="1:31" s="1298" customFormat="1" ht="46.5" customHeight="1">
      <c r="A144" s="1314"/>
      <c r="B144" s="2402"/>
      <c r="C144" s="1314">
        <v>1</v>
      </c>
      <c r="D144" s="1534" t="s">
        <v>66</v>
      </c>
      <c r="E144" s="1534" t="s">
        <v>65</v>
      </c>
      <c r="F144" s="1534" t="s">
        <v>155</v>
      </c>
      <c r="G144" s="1534" t="s">
        <v>66</v>
      </c>
      <c r="H144" s="1534"/>
      <c r="I144" s="1568" t="s">
        <v>2278</v>
      </c>
      <c r="J144" s="786" t="s">
        <v>2279</v>
      </c>
      <c r="K144" s="1521">
        <v>0.95</v>
      </c>
      <c r="L144" s="1569">
        <v>32991000000</v>
      </c>
      <c r="M144" s="1570">
        <f>(K144/6)*2</f>
        <v>0.31666666666666665</v>
      </c>
      <c r="N144" s="1569">
        <v>3866872870</v>
      </c>
      <c r="O144" s="1521">
        <v>0.16</v>
      </c>
      <c r="P144" s="1569">
        <v>4252349000</v>
      </c>
      <c r="Q144" s="1571">
        <v>2.1000000000000001E-2</v>
      </c>
      <c r="R144" s="1572">
        <v>0</v>
      </c>
      <c r="S144" s="1537">
        <v>0</v>
      </c>
      <c r="T144" s="1311">
        <v>0</v>
      </c>
      <c r="U144" s="1537">
        <v>0</v>
      </c>
      <c r="V144" s="1311">
        <v>0</v>
      </c>
      <c r="W144" s="1537">
        <v>0</v>
      </c>
      <c r="X144" s="1311">
        <v>0</v>
      </c>
      <c r="Y144" s="1536">
        <f t="shared" si="60"/>
        <v>2.1000000000000001E-2</v>
      </c>
      <c r="Z144" s="1538">
        <f>X144+V144+T144+R144</f>
        <v>0</v>
      </c>
      <c r="AA144" s="1539">
        <f t="shared" ref="AA144:AB158" si="68">Y144+M144</f>
        <v>0.33766666666666667</v>
      </c>
      <c r="AB144" s="1538">
        <f>Z144+N144</f>
        <v>3866872870</v>
      </c>
      <c r="AC144" s="1573">
        <f t="shared" si="62"/>
        <v>0.35543859649122811</v>
      </c>
      <c r="AD144" s="1574">
        <f>AB144/L144</f>
        <v>0.11720993210269467</v>
      </c>
      <c r="AE144" s="1314"/>
    </row>
    <row r="145" spans="1:31" s="1298" customFormat="1" ht="48" customHeight="1">
      <c r="A145" s="1314"/>
      <c r="B145" s="2402"/>
      <c r="C145" s="1314">
        <v>1</v>
      </c>
      <c r="D145" s="1534" t="s">
        <v>66</v>
      </c>
      <c r="E145" s="1534" t="s">
        <v>65</v>
      </c>
      <c r="F145" s="1314">
        <v>15</v>
      </c>
      <c r="G145" s="1534" t="s">
        <v>65</v>
      </c>
      <c r="H145" s="1534"/>
      <c r="I145" s="1568" t="s">
        <v>2280</v>
      </c>
      <c r="J145" s="786" t="s">
        <v>2281</v>
      </c>
      <c r="K145" s="1521">
        <v>0.9</v>
      </c>
      <c r="L145" s="1569">
        <v>2186637500</v>
      </c>
      <c r="M145" s="1570">
        <f t="shared" ref="M145:M202" si="69">(K145/6)*2</f>
        <v>0.3</v>
      </c>
      <c r="N145" s="1569">
        <v>260755750</v>
      </c>
      <c r="O145" s="1521">
        <v>0.15</v>
      </c>
      <c r="P145" s="1569">
        <v>238809892</v>
      </c>
      <c r="Q145" s="1571">
        <v>4.0000000000000001E-3</v>
      </c>
      <c r="R145" s="1575">
        <v>7795250</v>
      </c>
      <c r="S145" s="1314">
        <v>0</v>
      </c>
      <c r="T145" s="1311">
        <v>0</v>
      </c>
      <c r="U145" s="1314">
        <v>0</v>
      </c>
      <c r="V145" s="1311">
        <v>0</v>
      </c>
      <c r="W145" s="1314">
        <v>0</v>
      </c>
      <c r="X145" s="1311">
        <v>0</v>
      </c>
      <c r="Y145" s="1576">
        <f t="shared" si="60"/>
        <v>4.0000000000000001E-3</v>
      </c>
      <c r="Z145" s="1538">
        <f t="shared" ref="Z145:Z147" si="70">X145+V145+T145+R145</f>
        <v>7795250</v>
      </c>
      <c r="AA145" s="1539">
        <f t="shared" si="68"/>
        <v>0.30399999999999999</v>
      </c>
      <c r="AB145" s="1538">
        <f>Z145+N145</f>
        <v>268551000</v>
      </c>
      <c r="AC145" s="1573">
        <f t="shared" si="62"/>
        <v>0.33777777777777779</v>
      </c>
      <c r="AD145" s="1574">
        <f t="shared" si="63"/>
        <v>0.12281459546907066</v>
      </c>
      <c r="AE145" s="1314"/>
    </row>
    <row r="146" spans="1:31" s="1298" customFormat="1" ht="48" customHeight="1">
      <c r="A146" s="1314"/>
      <c r="B146" s="2403"/>
      <c r="C146" s="1314">
        <v>1</v>
      </c>
      <c r="D146" s="1534" t="s">
        <v>66</v>
      </c>
      <c r="E146" s="1534" t="s">
        <v>65</v>
      </c>
      <c r="F146" s="1314">
        <v>15</v>
      </c>
      <c r="G146" s="1534" t="s">
        <v>198</v>
      </c>
      <c r="H146" s="1534"/>
      <c r="I146" s="1568" t="s">
        <v>2282</v>
      </c>
      <c r="J146" s="786" t="s">
        <v>2283</v>
      </c>
      <c r="K146" s="1521">
        <v>1</v>
      </c>
      <c r="L146" s="1569">
        <v>495000000</v>
      </c>
      <c r="M146" s="1570">
        <f t="shared" si="69"/>
        <v>0.33333333333333331</v>
      </c>
      <c r="N146" s="1569">
        <v>41149850</v>
      </c>
      <c r="O146" s="1521">
        <v>0.17</v>
      </c>
      <c r="P146" s="1569">
        <v>38697150</v>
      </c>
      <c r="Q146" s="1577">
        <v>5.0000000000000001E-3</v>
      </c>
      <c r="R146" s="1578">
        <v>600000</v>
      </c>
      <c r="S146" s="1314">
        <v>0</v>
      </c>
      <c r="T146" s="1311">
        <v>0</v>
      </c>
      <c r="U146" s="1314">
        <v>0</v>
      </c>
      <c r="V146" s="1311">
        <v>0</v>
      </c>
      <c r="W146" s="1314">
        <v>0</v>
      </c>
      <c r="X146" s="1311">
        <v>0</v>
      </c>
      <c r="Y146" s="1576">
        <f t="shared" si="60"/>
        <v>5.0000000000000001E-3</v>
      </c>
      <c r="Z146" s="1538">
        <f t="shared" si="70"/>
        <v>600000</v>
      </c>
      <c r="AA146" s="1539">
        <f t="shared" si="68"/>
        <v>0.33833333333333332</v>
      </c>
      <c r="AB146" s="1538">
        <f>Z146+N146</f>
        <v>41749850</v>
      </c>
      <c r="AC146" s="1573">
        <f t="shared" si="62"/>
        <v>0.33833333333333332</v>
      </c>
      <c r="AD146" s="1574">
        <f t="shared" si="63"/>
        <v>8.4343131313131314E-2</v>
      </c>
      <c r="AE146" s="1314"/>
    </row>
    <row r="147" spans="1:31" s="1298" customFormat="1" ht="38.25">
      <c r="A147" s="1314"/>
      <c r="B147" s="1314"/>
      <c r="C147" s="1314">
        <v>1</v>
      </c>
      <c r="D147" s="1534" t="s">
        <v>66</v>
      </c>
      <c r="E147" s="1534" t="s">
        <v>65</v>
      </c>
      <c r="F147" s="1314">
        <v>15</v>
      </c>
      <c r="G147" s="1534" t="s">
        <v>417</v>
      </c>
      <c r="H147" s="1534"/>
      <c r="I147" s="1568" t="s">
        <v>2284</v>
      </c>
      <c r="J147" s="786" t="s">
        <v>2285</v>
      </c>
      <c r="K147" s="1521">
        <v>0.8</v>
      </c>
      <c r="L147" s="1569">
        <v>1040000000</v>
      </c>
      <c r="M147" s="1570">
        <f t="shared" si="69"/>
        <v>0.26666666666666666</v>
      </c>
      <c r="N147" s="1569">
        <v>38277250</v>
      </c>
      <c r="O147" s="1521">
        <v>0.13</v>
      </c>
      <c r="P147" s="1569">
        <v>38000000</v>
      </c>
      <c r="Q147" s="1571">
        <v>1.2E-2</v>
      </c>
      <c r="R147" s="1575">
        <v>4979800</v>
      </c>
      <c r="S147" s="1314">
        <v>0</v>
      </c>
      <c r="T147" s="1311">
        <v>0</v>
      </c>
      <c r="U147" s="1314">
        <v>0</v>
      </c>
      <c r="V147" s="1311">
        <v>0</v>
      </c>
      <c r="W147" s="1314">
        <v>0</v>
      </c>
      <c r="X147" s="1311">
        <v>0</v>
      </c>
      <c r="Y147" s="1576">
        <f t="shared" si="60"/>
        <v>1.2E-2</v>
      </c>
      <c r="Z147" s="1538">
        <f t="shared" si="70"/>
        <v>4979800</v>
      </c>
      <c r="AA147" s="1539">
        <f t="shared" si="68"/>
        <v>0.27866666666666667</v>
      </c>
      <c r="AB147" s="1538">
        <f>Z147+N147</f>
        <v>43257050</v>
      </c>
      <c r="AC147" s="1573">
        <f t="shared" si="62"/>
        <v>0.34833333333333333</v>
      </c>
      <c r="AD147" s="1574">
        <f t="shared" si="63"/>
        <v>4.1593317307692307E-2</v>
      </c>
      <c r="AE147" s="1314"/>
    </row>
    <row r="148" spans="1:31" s="1298" customFormat="1" ht="14.25">
      <c r="A148" s="1314"/>
      <c r="B148" s="1314"/>
      <c r="C148" s="1314"/>
      <c r="D148" s="1314"/>
      <c r="E148" s="1314"/>
      <c r="F148" s="1314"/>
      <c r="G148" s="1314"/>
      <c r="H148" s="1314"/>
      <c r="I148" s="1579"/>
      <c r="J148" s="786"/>
      <c r="K148" s="786"/>
      <c r="L148" s="786"/>
      <c r="M148" s="1570"/>
      <c r="N148" s="786"/>
      <c r="O148" s="786"/>
      <c r="P148" s="786"/>
      <c r="Q148" s="1314"/>
      <c r="R148" s="1314"/>
      <c r="S148" s="1314"/>
      <c r="T148" s="1314"/>
      <c r="U148" s="1314"/>
      <c r="V148" s="1314"/>
      <c r="W148" s="1314"/>
      <c r="X148" s="1311"/>
      <c r="Y148" s="1576"/>
      <c r="Z148" s="1530"/>
      <c r="AA148" s="1539"/>
      <c r="AB148" s="1550"/>
      <c r="AC148" s="1580"/>
      <c r="AD148" s="1574"/>
      <c r="AE148" s="1314"/>
    </row>
    <row r="149" spans="1:31" s="1297" customFormat="1" ht="59.25" customHeight="1">
      <c r="A149" s="1300"/>
      <c r="B149" s="1300" t="s">
        <v>2286</v>
      </c>
      <c r="C149" s="1300">
        <v>1</v>
      </c>
      <c r="D149" s="1299" t="s">
        <v>66</v>
      </c>
      <c r="E149" s="1299" t="s">
        <v>65</v>
      </c>
      <c r="F149" s="1299" t="s">
        <v>166</v>
      </c>
      <c r="G149" s="1300"/>
      <c r="H149" s="1300"/>
      <c r="I149" s="1554" t="s">
        <v>2287</v>
      </c>
      <c r="J149" s="1581" t="s">
        <v>2288</v>
      </c>
      <c r="K149" s="1556">
        <v>0.95</v>
      </c>
      <c r="L149" s="1557">
        <v>28845135000</v>
      </c>
      <c r="M149" s="1582">
        <f t="shared" si="69"/>
        <v>0.31666666666666665</v>
      </c>
      <c r="N149" s="1583">
        <v>6500154822</v>
      </c>
      <c r="O149" s="1584">
        <v>0.16</v>
      </c>
      <c r="P149" s="1583">
        <v>101177923</v>
      </c>
      <c r="Q149" s="1560">
        <f>SUM(Q150:Q154)/4</f>
        <v>2.375E-2</v>
      </c>
      <c r="R149" s="1585">
        <f>SUM(R150:R154)</f>
        <v>80064800</v>
      </c>
      <c r="S149" s="1586">
        <v>0</v>
      </c>
      <c r="T149" s="1587">
        <f>SUM(T150:T154)</f>
        <v>0</v>
      </c>
      <c r="U149" s="1586">
        <v>0</v>
      </c>
      <c r="V149" s="1585">
        <f>SUM(V150:V154)</f>
        <v>0</v>
      </c>
      <c r="W149" s="1586">
        <v>0</v>
      </c>
      <c r="X149" s="1587">
        <v>0</v>
      </c>
      <c r="Y149" s="1588">
        <f t="shared" si="60"/>
        <v>2.375E-2</v>
      </c>
      <c r="Z149" s="1585">
        <f t="shared" ref="Z149" si="71">X149</f>
        <v>0</v>
      </c>
      <c r="AA149" s="1565">
        <f t="shared" si="68"/>
        <v>0.34041666666666665</v>
      </c>
      <c r="AB149" s="1585">
        <f>N149+Z149</f>
        <v>6500154822</v>
      </c>
      <c r="AC149" s="1566">
        <f t="shared" si="62"/>
        <v>0.35833333333333334</v>
      </c>
      <c r="AD149" s="1560">
        <f t="shared" si="63"/>
        <v>0.22534665974002202</v>
      </c>
      <c r="AE149" s="1300" t="s">
        <v>2272</v>
      </c>
    </row>
    <row r="150" spans="1:31" s="1298" customFormat="1" ht="102.75" customHeight="1">
      <c r="A150" s="1314"/>
      <c r="B150" s="1314"/>
      <c r="C150" s="1314">
        <v>1</v>
      </c>
      <c r="D150" s="1534" t="s">
        <v>66</v>
      </c>
      <c r="E150" s="1534" t="s">
        <v>65</v>
      </c>
      <c r="F150" s="1314">
        <v>16</v>
      </c>
      <c r="G150" s="1534" t="s">
        <v>65</v>
      </c>
      <c r="H150" s="1534"/>
      <c r="I150" s="1568" t="s">
        <v>2289</v>
      </c>
      <c r="J150" s="786" t="s">
        <v>2290</v>
      </c>
      <c r="K150" s="1521">
        <v>0.95</v>
      </c>
      <c r="L150" s="1569">
        <v>1537500000</v>
      </c>
      <c r="M150" s="1570">
        <f t="shared" si="69"/>
        <v>0.31666666666666665</v>
      </c>
      <c r="N150" s="1569">
        <v>125121972</v>
      </c>
      <c r="O150" s="1589">
        <v>0.16</v>
      </c>
      <c r="P150" s="1569">
        <v>182652500</v>
      </c>
      <c r="Q150" s="1540">
        <v>3.2000000000000001E-2</v>
      </c>
      <c r="R150" s="1311">
        <v>6626600</v>
      </c>
      <c r="S150" s="1534">
        <v>0</v>
      </c>
      <c r="T150" s="1311">
        <v>0</v>
      </c>
      <c r="U150" s="1314">
        <v>0</v>
      </c>
      <c r="V150" s="1311">
        <v>0</v>
      </c>
      <c r="W150" s="1314">
        <v>0</v>
      </c>
      <c r="X150" s="1311">
        <v>0</v>
      </c>
      <c r="Y150" s="1590">
        <f>W150+U150+S150+Q150</f>
        <v>3.2000000000000001E-2</v>
      </c>
      <c r="Z150" s="1538">
        <f>X150+V150+T150+R150</f>
        <v>6626600</v>
      </c>
      <c r="AA150" s="1591">
        <f t="shared" si="68"/>
        <v>0.34866666666666668</v>
      </c>
      <c r="AB150" s="1538">
        <f t="shared" si="68"/>
        <v>131748572</v>
      </c>
      <c r="AC150" s="1573">
        <f t="shared" si="62"/>
        <v>0.36701754385964913</v>
      </c>
      <c r="AD150" s="1574">
        <f t="shared" si="63"/>
        <v>8.5690128130081297E-2</v>
      </c>
      <c r="AE150" s="1314"/>
    </row>
    <row r="151" spans="1:31" s="1298" customFormat="1" ht="136.5" customHeight="1">
      <c r="A151" s="1314"/>
      <c r="B151" s="1314"/>
      <c r="C151" s="1314">
        <v>1</v>
      </c>
      <c r="D151" s="1534" t="s">
        <v>66</v>
      </c>
      <c r="E151" s="1534" t="s">
        <v>65</v>
      </c>
      <c r="F151" s="1314">
        <v>16</v>
      </c>
      <c r="G151" s="1534" t="s">
        <v>201</v>
      </c>
      <c r="H151" s="1534"/>
      <c r="I151" s="1568" t="s">
        <v>2291</v>
      </c>
      <c r="J151" s="786" t="s">
        <v>2292</v>
      </c>
      <c r="K151" s="1521">
        <v>0.95</v>
      </c>
      <c r="L151" s="1569">
        <v>4817385000</v>
      </c>
      <c r="M151" s="1570">
        <f t="shared" si="69"/>
        <v>0.31666666666666665</v>
      </c>
      <c r="N151" s="1569">
        <v>743873200</v>
      </c>
      <c r="O151" s="1589">
        <v>0.16</v>
      </c>
      <c r="P151" s="1569">
        <v>1714157217</v>
      </c>
      <c r="Q151" s="1540">
        <v>2.5000000000000001E-2</v>
      </c>
      <c r="R151" s="1311">
        <v>69748000</v>
      </c>
      <c r="S151" s="1537">
        <v>0</v>
      </c>
      <c r="T151" s="1311">
        <v>0</v>
      </c>
      <c r="U151" s="1537">
        <v>0</v>
      </c>
      <c r="V151" s="1311">
        <v>0</v>
      </c>
      <c r="W151" s="1537">
        <v>0</v>
      </c>
      <c r="X151" s="1311">
        <v>0</v>
      </c>
      <c r="Y151" s="1573">
        <f t="shared" ref="Y151:Z154" si="72">W151+U151+S151+Q151</f>
        <v>2.5000000000000001E-2</v>
      </c>
      <c r="Z151" s="1538">
        <f t="shared" si="72"/>
        <v>69748000</v>
      </c>
      <c r="AA151" s="1591">
        <f t="shared" si="68"/>
        <v>0.34166666666666667</v>
      </c>
      <c r="AB151" s="1538">
        <f t="shared" si="68"/>
        <v>813621200</v>
      </c>
      <c r="AC151" s="1573">
        <f t="shared" si="62"/>
        <v>0.35964912280701755</v>
      </c>
      <c r="AD151" s="1574">
        <f t="shared" si="63"/>
        <v>0.16889270838847217</v>
      </c>
      <c r="AE151" s="1314"/>
    </row>
    <row r="152" spans="1:31" s="1298" customFormat="1" ht="45.75" customHeight="1">
      <c r="A152" s="1314"/>
      <c r="B152" s="1314"/>
      <c r="C152" s="1314">
        <v>1</v>
      </c>
      <c r="D152" s="1534" t="s">
        <v>66</v>
      </c>
      <c r="E152" s="1534" t="s">
        <v>65</v>
      </c>
      <c r="F152" s="1314">
        <v>16</v>
      </c>
      <c r="G152" s="1534" t="s">
        <v>515</v>
      </c>
      <c r="H152" s="1534"/>
      <c r="I152" s="1568" t="s">
        <v>2293</v>
      </c>
      <c r="J152" s="786" t="s">
        <v>2294</v>
      </c>
      <c r="K152" s="1521">
        <v>0.95</v>
      </c>
      <c r="L152" s="1569">
        <v>21750000000</v>
      </c>
      <c r="M152" s="1570">
        <f t="shared" si="69"/>
        <v>0.31666666666666665</v>
      </c>
      <c r="N152" s="1569">
        <v>5562727550</v>
      </c>
      <c r="O152" s="1589">
        <v>0.16</v>
      </c>
      <c r="P152" s="1569">
        <v>11288225000</v>
      </c>
      <c r="Q152" s="1540">
        <v>5.0000000000000001E-3</v>
      </c>
      <c r="R152" s="1314">
        <v>0</v>
      </c>
      <c r="S152" s="1314">
        <v>0</v>
      </c>
      <c r="T152" s="1311">
        <v>0</v>
      </c>
      <c r="U152" s="1314">
        <v>0</v>
      </c>
      <c r="V152" s="1311">
        <v>0</v>
      </c>
      <c r="W152" s="1314">
        <v>0</v>
      </c>
      <c r="X152" s="1311">
        <v>0</v>
      </c>
      <c r="Y152" s="1590">
        <f t="shared" si="72"/>
        <v>5.0000000000000001E-3</v>
      </c>
      <c r="Z152" s="1538">
        <f t="shared" si="72"/>
        <v>0</v>
      </c>
      <c r="AA152" s="1591">
        <f t="shared" si="68"/>
        <v>0.32166666666666666</v>
      </c>
      <c r="AB152" s="1538">
        <f t="shared" si="68"/>
        <v>5562727550</v>
      </c>
      <c r="AC152" s="1573">
        <f t="shared" si="62"/>
        <v>0.33859649122807017</v>
      </c>
      <c r="AD152" s="1574">
        <f t="shared" si="63"/>
        <v>0.25575758850574715</v>
      </c>
      <c r="AE152" s="1314"/>
    </row>
    <row r="153" spans="1:31" s="1298" customFormat="1" ht="59.25" customHeight="1">
      <c r="A153" s="1314"/>
      <c r="B153" s="1314"/>
      <c r="C153" s="1314">
        <v>1</v>
      </c>
      <c r="D153" s="1534" t="s">
        <v>66</v>
      </c>
      <c r="E153" s="1534" t="s">
        <v>65</v>
      </c>
      <c r="F153" s="1314">
        <v>16</v>
      </c>
      <c r="G153" s="1534">
        <v>34</v>
      </c>
      <c r="H153" s="1534"/>
      <c r="I153" s="1568" t="s">
        <v>2295</v>
      </c>
      <c r="J153" s="786" t="s">
        <v>2296</v>
      </c>
      <c r="K153" s="1521">
        <v>0.95</v>
      </c>
      <c r="L153" s="1522">
        <v>470000000</v>
      </c>
      <c r="M153" s="1570">
        <f t="shared" si="69"/>
        <v>0.31666666666666665</v>
      </c>
      <c r="N153" s="1592">
        <v>51355550</v>
      </c>
      <c r="O153" s="1589">
        <v>0.16</v>
      </c>
      <c r="P153" s="1569">
        <v>44644179</v>
      </c>
      <c r="Q153" s="1593">
        <v>1.2E-2</v>
      </c>
      <c r="R153" s="1569">
        <v>3038200</v>
      </c>
      <c r="S153" s="1594">
        <v>0</v>
      </c>
      <c r="T153" s="1569">
        <v>0</v>
      </c>
      <c r="U153" s="1594">
        <v>0</v>
      </c>
      <c r="V153" s="1569">
        <v>0</v>
      </c>
      <c r="W153" s="1594">
        <v>0</v>
      </c>
      <c r="X153" s="1569">
        <v>0</v>
      </c>
      <c r="Y153" s="1590">
        <f t="shared" si="72"/>
        <v>1.2E-2</v>
      </c>
      <c r="Z153" s="1538">
        <f t="shared" si="72"/>
        <v>3038200</v>
      </c>
      <c r="AA153" s="1591">
        <f t="shared" si="68"/>
        <v>0.32866666666666666</v>
      </c>
      <c r="AB153" s="1595">
        <f t="shared" si="68"/>
        <v>54393750</v>
      </c>
      <c r="AC153" s="1573">
        <f t="shared" si="62"/>
        <v>0.34596491228070175</v>
      </c>
      <c r="AD153" s="1574">
        <f t="shared" si="63"/>
        <v>0.1157313829787234</v>
      </c>
      <c r="AE153" s="786"/>
    </row>
    <row r="154" spans="1:31" s="1298" customFormat="1" ht="53.25" customHeight="1" thickBot="1">
      <c r="A154" s="1314"/>
      <c r="B154" s="1314"/>
      <c r="C154" s="1314">
        <v>1</v>
      </c>
      <c r="D154" s="1534" t="s">
        <v>66</v>
      </c>
      <c r="E154" s="1534" t="s">
        <v>65</v>
      </c>
      <c r="F154" s="1314">
        <v>16</v>
      </c>
      <c r="G154" s="1534">
        <v>35</v>
      </c>
      <c r="H154" s="1534"/>
      <c r="I154" s="1568" t="s">
        <v>2297</v>
      </c>
      <c r="J154" s="786" t="s">
        <v>2298</v>
      </c>
      <c r="K154" s="1521">
        <v>0.95</v>
      </c>
      <c r="L154" s="1522">
        <v>270250000</v>
      </c>
      <c r="M154" s="1570">
        <f t="shared" si="69"/>
        <v>0.31666666666666665</v>
      </c>
      <c r="N154" s="1592">
        <v>17076550</v>
      </c>
      <c r="O154" s="1589">
        <v>0.16</v>
      </c>
      <c r="P154" s="1569">
        <v>41274200</v>
      </c>
      <c r="Q154" s="1593">
        <v>2.1000000000000001E-2</v>
      </c>
      <c r="R154" s="1569">
        <v>652000</v>
      </c>
      <c r="S154" s="1594">
        <v>0</v>
      </c>
      <c r="T154" s="1569">
        <v>0</v>
      </c>
      <c r="U154" s="1594">
        <v>0</v>
      </c>
      <c r="V154" s="1569">
        <v>0</v>
      </c>
      <c r="W154" s="1594">
        <v>0</v>
      </c>
      <c r="X154" s="1569">
        <v>0</v>
      </c>
      <c r="Y154" s="1590">
        <f t="shared" si="72"/>
        <v>2.1000000000000001E-2</v>
      </c>
      <c r="Z154" s="1538">
        <v>17076550</v>
      </c>
      <c r="AA154" s="1591">
        <f t="shared" si="68"/>
        <v>0.33766666666666667</v>
      </c>
      <c r="AB154" s="1595">
        <f t="shared" si="68"/>
        <v>34153100</v>
      </c>
      <c r="AC154" s="1573">
        <f t="shared" si="62"/>
        <v>0.35543859649122811</v>
      </c>
      <c r="AD154" s="1574">
        <f t="shared" si="63"/>
        <v>0.1263759481961147</v>
      </c>
      <c r="AE154" s="1595"/>
    </row>
    <row r="155" spans="1:31" s="1297" customFormat="1" ht="60" customHeight="1" thickBot="1">
      <c r="A155" s="1300"/>
      <c r="B155" s="1300" t="s">
        <v>2299</v>
      </c>
      <c r="C155" s="1300">
        <v>1</v>
      </c>
      <c r="D155" s="1299" t="s">
        <v>66</v>
      </c>
      <c r="E155" s="1299" t="s">
        <v>65</v>
      </c>
      <c r="F155" s="1299" t="s">
        <v>357</v>
      </c>
      <c r="G155" s="1300"/>
      <c r="H155" s="1300"/>
      <c r="I155" s="1554" t="s">
        <v>2300</v>
      </c>
      <c r="J155" s="1596" t="s">
        <v>2301</v>
      </c>
      <c r="K155" s="1597">
        <f>SUM(K156:K160)/4</f>
        <v>1</v>
      </c>
      <c r="L155" s="1598">
        <v>9800000000</v>
      </c>
      <c r="M155" s="1582">
        <f t="shared" si="69"/>
        <v>0.33333333333333331</v>
      </c>
      <c r="N155" s="1583">
        <f>SUM(N156:N160)</f>
        <v>568646293</v>
      </c>
      <c r="O155" s="1599">
        <v>0.17</v>
      </c>
      <c r="P155" s="1583">
        <v>227966920</v>
      </c>
      <c r="Q155" s="1588">
        <f>SUM(Q156:Q160)/4</f>
        <v>1.3749999999999998E-2</v>
      </c>
      <c r="R155" s="1585">
        <f>SUM(R156:R160)</f>
        <v>30185300</v>
      </c>
      <c r="S155" s="1586">
        <v>0</v>
      </c>
      <c r="T155" s="1587">
        <f>SUM(T156:T160)</f>
        <v>0</v>
      </c>
      <c r="U155" s="1586">
        <v>0</v>
      </c>
      <c r="V155" s="1585">
        <f>SUM(V156:V160)</f>
        <v>0</v>
      </c>
      <c r="W155" s="1586">
        <v>0</v>
      </c>
      <c r="X155" s="1587">
        <f>SUM(X156:X160)</f>
        <v>0</v>
      </c>
      <c r="Y155" s="1588">
        <f>W155+U155+S155+Q155</f>
        <v>1.3749999999999998E-2</v>
      </c>
      <c r="Z155" s="1585">
        <f>SUM(Z156:Z160)</f>
        <v>30185300</v>
      </c>
      <c r="AA155" s="1600">
        <f>Y155+M155</f>
        <v>0.3470833333333333</v>
      </c>
      <c r="AB155" s="1585">
        <f t="shared" si="68"/>
        <v>598831593</v>
      </c>
      <c r="AC155" s="1565">
        <f t="shared" si="62"/>
        <v>0.3470833333333333</v>
      </c>
      <c r="AD155" s="1560">
        <f t="shared" si="63"/>
        <v>6.1105264591836732E-2</v>
      </c>
      <c r="AE155" s="1601" t="s">
        <v>2272</v>
      </c>
    </row>
    <row r="156" spans="1:31" s="1298" customFormat="1" ht="48.75" customHeight="1">
      <c r="A156" s="1314"/>
      <c r="B156" s="1314"/>
      <c r="C156" s="1314">
        <v>1</v>
      </c>
      <c r="D156" s="1534" t="s">
        <v>66</v>
      </c>
      <c r="E156" s="1534" t="s">
        <v>65</v>
      </c>
      <c r="F156" s="1314">
        <v>19</v>
      </c>
      <c r="G156" s="1534" t="s">
        <v>66</v>
      </c>
      <c r="H156" s="1534"/>
      <c r="I156" s="1602" t="s">
        <v>2302</v>
      </c>
      <c r="J156" s="786" t="s">
        <v>2303</v>
      </c>
      <c r="K156" s="1521">
        <v>1</v>
      </c>
      <c r="L156" s="1569">
        <v>2295000000</v>
      </c>
      <c r="M156" s="1570">
        <f t="shared" si="69"/>
        <v>0.33333333333333331</v>
      </c>
      <c r="N156" s="1569">
        <v>156892800</v>
      </c>
      <c r="O156" s="1603">
        <v>0.17</v>
      </c>
      <c r="P156" s="1569">
        <v>183789402</v>
      </c>
      <c r="Q156" s="1540">
        <v>1.4999999999999999E-2</v>
      </c>
      <c r="R156" s="1311">
        <v>13582400</v>
      </c>
      <c r="S156" s="1314">
        <v>0</v>
      </c>
      <c r="T156" s="1311">
        <v>0</v>
      </c>
      <c r="U156" s="1537">
        <v>0</v>
      </c>
      <c r="V156" s="1311">
        <v>0</v>
      </c>
      <c r="W156" s="1537">
        <v>0</v>
      </c>
      <c r="X156" s="1311">
        <v>0</v>
      </c>
      <c r="Y156" s="1540">
        <f>W156+U156+S156+Q156</f>
        <v>1.4999999999999999E-2</v>
      </c>
      <c r="Z156" s="1538">
        <f>X156+V156+T156+R156</f>
        <v>13582400</v>
      </c>
      <c r="AA156" s="1539">
        <f t="shared" ref="AA156:AA160" si="73">Y156+M156</f>
        <v>0.34833333333333333</v>
      </c>
      <c r="AB156" s="1538">
        <f t="shared" si="68"/>
        <v>170475200</v>
      </c>
      <c r="AC156" s="1591">
        <f t="shared" si="62"/>
        <v>0.34833333333333333</v>
      </c>
      <c r="AD156" s="1574">
        <f t="shared" si="63"/>
        <v>7.4281132897603491E-2</v>
      </c>
      <c r="AE156" s="1314"/>
    </row>
    <row r="157" spans="1:31" s="1298" customFormat="1" ht="37.5" customHeight="1">
      <c r="A157" s="1314"/>
      <c r="B157" s="1314"/>
      <c r="C157" s="1314">
        <v>1</v>
      </c>
      <c r="D157" s="1534" t="s">
        <v>66</v>
      </c>
      <c r="E157" s="1534" t="s">
        <v>65</v>
      </c>
      <c r="F157" s="1314">
        <v>19</v>
      </c>
      <c r="G157" s="1534" t="s">
        <v>197</v>
      </c>
      <c r="H157" s="1534"/>
      <c r="I157" s="1568" t="s">
        <v>2304</v>
      </c>
      <c r="J157" s="786" t="s">
        <v>2305</v>
      </c>
      <c r="K157" s="1521">
        <v>1</v>
      </c>
      <c r="L157" s="1569">
        <v>2020000000</v>
      </c>
      <c r="M157" s="1570">
        <f t="shared" si="69"/>
        <v>0.33333333333333331</v>
      </c>
      <c r="N157" s="1569">
        <v>177333050</v>
      </c>
      <c r="O157" s="1603">
        <v>0.17</v>
      </c>
      <c r="P157" s="1569">
        <v>132783626</v>
      </c>
      <c r="Q157" s="1540">
        <v>1.2999999999999999E-2</v>
      </c>
      <c r="R157" s="1311">
        <v>5497700</v>
      </c>
      <c r="S157" s="1314">
        <v>0</v>
      </c>
      <c r="T157" s="1311">
        <v>0</v>
      </c>
      <c r="U157" s="1314">
        <v>0</v>
      </c>
      <c r="V157" s="1311">
        <v>0</v>
      </c>
      <c r="W157" s="1314">
        <v>0</v>
      </c>
      <c r="X157" s="1311">
        <v>0</v>
      </c>
      <c r="Y157" s="1540">
        <f t="shared" ref="Y157:Z160" si="74">W157+U157+S157+Q157</f>
        <v>1.2999999999999999E-2</v>
      </c>
      <c r="Z157" s="1538">
        <f t="shared" si="74"/>
        <v>5497700</v>
      </c>
      <c r="AA157" s="1539">
        <f t="shared" si="73"/>
        <v>0.34633333333333333</v>
      </c>
      <c r="AB157" s="1538">
        <f t="shared" si="68"/>
        <v>182830750</v>
      </c>
      <c r="AC157" s="1591">
        <f t="shared" si="62"/>
        <v>0.34633333333333333</v>
      </c>
      <c r="AD157" s="1574">
        <f t="shared" si="63"/>
        <v>9.051027227722773E-2</v>
      </c>
      <c r="AE157" s="1314"/>
    </row>
    <row r="158" spans="1:31" s="1298" customFormat="1" ht="30" customHeight="1">
      <c r="A158" s="1314"/>
      <c r="B158" s="1314"/>
      <c r="C158" s="1314">
        <v>1</v>
      </c>
      <c r="D158" s="1534" t="s">
        <v>66</v>
      </c>
      <c r="E158" s="1534" t="s">
        <v>65</v>
      </c>
      <c r="F158" s="1314">
        <v>19</v>
      </c>
      <c r="G158" s="1534" t="s">
        <v>198</v>
      </c>
      <c r="H158" s="1534"/>
      <c r="I158" s="1568" t="s">
        <v>2306</v>
      </c>
      <c r="J158" s="1604" t="s">
        <v>2307</v>
      </c>
      <c r="K158" s="1521">
        <v>1</v>
      </c>
      <c r="L158" s="1569">
        <v>710000000</v>
      </c>
      <c r="M158" s="1570">
        <f t="shared" si="69"/>
        <v>0.33333333333333331</v>
      </c>
      <c r="N158" s="1569">
        <v>138379050</v>
      </c>
      <c r="O158" s="1603">
        <v>0.17</v>
      </c>
      <c r="P158" s="1569">
        <v>99195000</v>
      </c>
      <c r="Q158" s="1540">
        <v>2.1999999999999999E-2</v>
      </c>
      <c r="R158" s="1311">
        <v>11105200</v>
      </c>
      <c r="S158" s="1314">
        <v>0</v>
      </c>
      <c r="T158" s="1311">
        <v>0</v>
      </c>
      <c r="U158" s="1537">
        <v>0</v>
      </c>
      <c r="V158" s="1311">
        <v>0</v>
      </c>
      <c r="W158" s="1537">
        <v>0</v>
      </c>
      <c r="X158" s="1311">
        <v>0</v>
      </c>
      <c r="Y158" s="1540">
        <f t="shared" si="74"/>
        <v>2.1999999999999999E-2</v>
      </c>
      <c r="Z158" s="1538">
        <f t="shared" si="74"/>
        <v>11105200</v>
      </c>
      <c r="AA158" s="1539">
        <f t="shared" si="73"/>
        <v>0.35533333333333333</v>
      </c>
      <c r="AB158" s="1538">
        <f t="shared" si="68"/>
        <v>149484250</v>
      </c>
      <c r="AC158" s="1591">
        <f t="shared" si="62"/>
        <v>0.35533333333333333</v>
      </c>
      <c r="AD158" s="1574">
        <f t="shared" si="63"/>
        <v>0.21054119718309861</v>
      </c>
      <c r="AE158" s="1314"/>
    </row>
    <row r="159" spans="1:31" s="1298" customFormat="1" ht="42.75" customHeight="1">
      <c r="A159" s="1314"/>
      <c r="B159" s="1314"/>
      <c r="C159" s="1314"/>
      <c r="D159" s="1534"/>
      <c r="E159" s="1534"/>
      <c r="F159" s="1314"/>
      <c r="G159" s="1534"/>
      <c r="H159" s="1534"/>
      <c r="I159" s="1568"/>
      <c r="J159" s="1604" t="s">
        <v>2308</v>
      </c>
      <c r="K159" s="786"/>
      <c r="L159" s="1569"/>
      <c r="M159" s="1570"/>
      <c r="N159" s="1569"/>
      <c r="O159" s="1603"/>
      <c r="P159" s="1569"/>
      <c r="Q159" s="1540"/>
      <c r="R159" s="1311"/>
      <c r="S159" s="1314"/>
      <c r="T159" s="1311"/>
      <c r="U159" s="1537"/>
      <c r="V159" s="1311"/>
      <c r="W159" s="1537"/>
      <c r="X159" s="1311"/>
      <c r="Y159" s="1540"/>
      <c r="Z159" s="1538"/>
      <c r="AA159" s="1539"/>
      <c r="AB159" s="1538"/>
      <c r="AC159" s="1591"/>
      <c r="AD159" s="1574"/>
      <c r="AE159" s="1314"/>
    </row>
    <row r="160" spans="1:31" s="1298" customFormat="1" ht="73.5" customHeight="1" thickBot="1">
      <c r="A160" s="1314"/>
      <c r="B160" s="1314"/>
      <c r="C160" s="1314">
        <v>1</v>
      </c>
      <c r="D160" s="1534" t="s">
        <v>66</v>
      </c>
      <c r="E160" s="1534" t="s">
        <v>65</v>
      </c>
      <c r="F160" s="1314">
        <v>19</v>
      </c>
      <c r="G160" s="1534" t="s">
        <v>93</v>
      </c>
      <c r="H160" s="1534"/>
      <c r="I160" s="1568" t="s">
        <v>2309</v>
      </c>
      <c r="J160" s="786" t="s">
        <v>2310</v>
      </c>
      <c r="K160" s="1521">
        <v>1</v>
      </c>
      <c r="L160" s="1569">
        <v>4775000000</v>
      </c>
      <c r="M160" s="1570">
        <f t="shared" si="69"/>
        <v>0.33333333333333331</v>
      </c>
      <c r="N160" s="1569">
        <v>96041393</v>
      </c>
      <c r="O160" s="1605">
        <v>0.17</v>
      </c>
      <c r="P160" s="1569">
        <v>132841817</v>
      </c>
      <c r="Q160" s="1540">
        <v>5.0000000000000001E-3</v>
      </c>
      <c r="R160" s="1311">
        <v>0</v>
      </c>
      <c r="S160" s="1314">
        <v>0</v>
      </c>
      <c r="T160" s="1311">
        <v>0</v>
      </c>
      <c r="U160" s="1314">
        <v>0</v>
      </c>
      <c r="V160" s="1311">
        <v>0</v>
      </c>
      <c r="W160" s="1314">
        <v>0</v>
      </c>
      <c r="X160" s="1311">
        <v>0</v>
      </c>
      <c r="Y160" s="1540">
        <f t="shared" si="74"/>
        <v>5.0000000000000001E-3</v>
      </c>
      <c r="Z160" s="1538">
        <f t="shared" si="74"/>
        <v>0</v>
      </c>
      <c r="AA160" s="1539">
        <f t="shared" si="73"/>
        <v>0.33833333333333332</v>
      </c>
      <c r="AB160" s="1538">
        <f>Z160+N160</f>
        <v>96041393</v>
      </c>
      <c r="AC160" s="1591">
        <f t="shared" si="62"/>
        <v>0.33833333333333332</v>
      </c>
      <c r="AD160" s="1574">
        <f t="shared" si="63"/>
        <v>2.0113380732984291E-2</v>
      </c>
      <c r="AE160" s="1314"/>
    </row>
    <row r="161" spans="1:31" s="1297" customFormat="1" ht="54" customHeight="1" thickBot="1">
      <c r="A161" s="1300"/>
      <c r="B161" s="1300" t="s">
        <v>2311</v>
      </c>
      <c r="C161" s="1300">
        <v>1</v>
      </c>
      <c r="D161" s="1299" t="s">
        <v>66</v>
      </c>
      <c r="E161" s="1299" t="s">
        <v>65</v>
      </c>
      <c r="F161" s="1299" t="s">
        <v>376</v>
      </c>
      <c r="G161" s="1300"/>
      <c r="H161" s="1300"/>
      <c r="I161" s="1554" t="s">
        <v>2312</v>
      </c>
      <c r="J161" s="1555" t="s">
        <v>2313</v>
      </c>
      <c r="K161" s="1597">
        <v>1</v>
      </c>
      <c r="L161" s="1606">
        <v>2207259000</v>
      </c>
      <c r="M161" s="1582">
        <f t="shared" si="69"/>
        <v>0.33333333333333331</v>
      </c>
      <c r="N161" s="1558">
        <v>292015450</v>
      </c>
      <c r="O161" s="1603">
        <v>0.17</v>
      </c>
      <c r="P161" s="1607" t="s">
        <v>2314</v>
      </c>
      <c r="Q161" s="1608">
        <f>SUM(Q162:Q164)/3</f>
        <v>3.5999999999999997E-2</v>
      </c>
      <c r="R161" s="1609">
        <f>SUM(R162:R164)</f>
        <v>67155000</v>
      </c>
      <c r="S161" s="1610">
        <v>0</v>
      </c>
      <c r="T161" s="1611">
        <f>SUM(T162:T164)</f>
        <v>0</v>
      </c>
      <c r="U161" s="1586">
        <v>0</v>
      </c>
      <c r="V161" s="1585">
        <f>SUM(V162:V164)</f>
        <v>0</v>
      </c>
      <c r="W161" s="1586">
        <v>0</v>
      </c>
      <c r="X161" s="1587">
        <f>SUM(X162:X164)</f>
        <v>0</v>
      </c>
      <c r="Y161" s="1588">
        <f>W161+U161+S161+Q161</f>
        <v>3.5999999999999997E-2</v>
      </c>
      <c r="Z161" s="1585">
        <f>SUM(Z162:Z164)</f>
        <v>67155000</v>
      </c>
      <c r="AA161" s="1600">
        <f>Y161+M161</f>
        <v>0.36933333333333329</v>
      </c>
      <c r="AB161" s="1585">
        <f>Z161+N161</f>
        <v>359170450</v>
      </c>
      <c r="AC161" s="1565">
        <f t="shared" si="62"/>
        <v>0.36933333333333329</v>
      </c>
      <c r="AD161" s="1560">
        <f t="shared" si="63"/>
        <v>0.1627223855469612</v>
      </c>
      <c r="AE161" s="1612" t="s">
        <v>2272</v>
      </c>
    </row>
    <row r="162" spans="1:31" s="1298" customFormat="1" ht="72" customHeight="1">
      <c r="A162" s="1314"/>
      <c r="B162" s="1314"/>
      <c r="C162" s="1314">
        <v>1</v>
      </c>
      <c r="D162" s="1534" t="s">
        <v>66</v>
      </c>
      <c r="E162" s="1534" t="s">
        <v>65</v>
      </c>
      <c r="F162" s="1534" t="s">
        <v>376</v>
      </c>
      <c r="G162" s="1534" t="s">
        <v>65</v>
      </c>
      <c r="H162" s="1534"/>
      <c r="I162" s="1568" t="s">
        <v>2315</v>
      </c>
      <c r="J162" s="786" t="s">
        <v>2316</v>
      </c>
      <c r="K162" s="1521">
        <v>1</v>
      </c>
      <c r="L162" s="1569">
        <v>756100000</v>
      </c>
      <c r="M162" s="1570">
        <f t="shared" si="69"/>
        <v>0.33333333333333331</v>
      </c>
      <c r="N162" s="1569">
        <v>115425000</v>
      </c>
      <c r="O162" s="1521">
        <v>0.17</v>
      </c>
      <c r="P162" s="1569">
        <v>431052365</v>
      </c>
      <c r="Q162" s="1540">
        <v>0.04</v>
      </c>
      <c r="R162" s="1311">
        <v>4215000</v>
      </c>
      <c r="S162" s="1314">
        <v>0</v>
      </c>
      <c r="T162" s="1311">
        <v>0</v>
      </c>
      <c r="U162" s="1314">
        <v>0</v>
      </c>
      <c r="V162" s="1311">
        <v>0</v>
      </c>
      <c r="W162" s="1314">
        <v>0</v>
      </c>
      <c r="X162" s="1311">
        <v>0</v>
      </c>
      <c r="Y162" s="1540">
        <f>W162+U162+S162+Q162</f>
        <v>0.04</v>
      </c>
      <c r="Z162" s="1538">
        <f>X162+V162+T162+R162</f>
        <v>4215000</v>
      </c>
      <c r="AA162" s="1539">
        <f t="shared" ref="AA162:AA164" si="75">Y162+M162</f>
        <v>0.37333333333333329</v>
      </c>
      <c r="AB162" s="1538">
        <f>Z162+N162</f>
        <v>119640000</v>
      </c>
      <c r="AC162" s="1591">
        <f t="shared" si="62"/>
        <v>0.37333333333333329</v>
      </c>
      <c r="AD162" s="1574">
        <f t="shared" si="63"/>
        <v>0.15823303795794208</v>
      </c>
      <c r="AE162" s="1314"/>
    </row>
    <row r="163" spans="1:31" s="1298" customFormat="1" ht="43.5" customHeight="1">
      <c r="A163" s="1314"/>
      <c r="B163" s="1314"/>
      <c r="C163" s="1314">
        <v>1</v>
      </c>
      <c r="D163" s="1534" t="s">
        <v>66</v>
      </c>
      <c r="E163" s="1534" t="s">
        <v>65</v>
      </c>
      <c r="F163" s="1534" t="s">
        <v>376</v>
      </c>
      <c r="G163" s="1534" t="s">
        <v>93</v>
      </c>
      <c r="H163" s="1534"/>
      <c r="I163" s="1568" t="s">
        <v>2317</v>
      </c>
      <c r="J163" s="786" t="s">
        <v>2318</v>
      </c>
      <c r="K163" s="1521">
        <v>0.9</v>
      </c>
      <c r="L163" s="1522">
        <v>724452000</v>
      </c>
      <c r="M163" s="1570">
        <f t="shared" si="69"/>
        <v>0.3</v>
      </c>
      <c r="N163" s="1569">
        <v>71383750</v>
      </c>
      <c r="O163" s="1521">
        <v>0.15</v>
      </c>
      <c r="P163" s="1569">
        <v>182403327</v>
      </c>
      <c r="Q163" s="1536">
        <v>0.05</v>
      </c>
      <c r="R163" s="1311">
        <v>60440000</v>
      </c>
      <c r="S163" s="1314">
        <v>0</v>
      </c>
      <c r="T163" s="1311">
        <v>0</v>
      </c>
      <c r="U163" s="1314">
        <v>0</v>
      </c>
      <c r="V163" s="1311">
        <v>0</v>
      </c>
      <c r="W163" s="1314">
        <v>0</v>
      </c>
      <c r="X163" s="1311">
        <v>0</v>
      </c>
      <c r="Y163" s="1540">
        <f t="shared" ref="Y163:Z164" si="76">W163+U163+S163+Q163</f>
        <v>0.05</v>
      </c>
      <c r="Z163" s="1538">
        <f t="shared" si="76"/>
        <v>60440000</v>
      </c>
      <c r="AA163" s="1539">
        <f t="shared" si="75"/>
        <v>0.35</v>
      </c>
      <c r="AB163" s="1538">
        <f>Z163+N163</f>
        <v>131823750</v>
      </c>
      <c r="AC163" s="1591">
        <f t="shared" si="62"/>
        <v>0.38888888888888884</v>
      </c>
      <c r="AD163" s="1574">
        <f t="shared" si="63"/>
        <v>0.1819634013019496</v>
      </c>
      <c r="AE163" s="1314"/>
    </row>
    <row r="164" spans="1:31" s="1298" customFormat="1" ht="38.25">
      <c r="A164" s="1314"/>
      <c r="B164" s="1314"/>
      <c r="C164" s="1314">
        <v>1</v>
      </c>
      <c r="D164" s="1534" t="s">
        <v>66</v>
      </c>
      <c r="E164" s="1534" t="s">
        <v>65</v>
      </c>
      <c r="F164" s="1534" t="s">
        <v>376</v>
      </c>
      <c r="G164" s="1534" t="s">
        <v>201</v>
      </c>
      <c r="H164" s="1534"/>
      <c r="I164" s="1568" t="s">
        <v>2319</v>
      </c>
      <c r="J164" s="786" t="s">
        <v>2320</v>
      </c>
      <c r="K164" s="1521">
        <v>0.95</v>
      </c>
      <c r="L164" s="1569">
        <v>726707000</v>
      </c>
      <c r="M164" s="1570">
        <f t="shared" si="69"/>
        <v>0.31666666666666665</v>
      </c>
      <c r="N164" s="1569">
        <v>105206700</v>
      </c>
      <c r="O164" s="1613">
        <v>0.158</v>
      </c>
      <c r="P164" s="1569">
        <v>111358522</v>
      </c>
      <c r="Q164" s="1536">
        <v>1.7999999999999999E-2</v>
      </c>
      <c r="R164" s="1311">
        <v>2500000</v>
      </c>
      <c r="S164" s="1314">
        <v>0</v>
      </c>
      <c r="T164" s="1311">
        <v>0</v>
      </c>
      <c r="U164" s="1314">
        <v>0</v>
      </c>
      <c r="V164" s="1311">
        <v>0</v>
      </c>
      <c r="W164" s="1314">
        <v>0</v>
      </c>
      <c r="X164" s="1311">
        <v>0</v>
      </c>
      <c r="Y164" s="1540">
        <f t="shared" si="76"/>
        <v>1.7999999999999999E-2</v>
      </c>
      <c r="Z164" s="1538">
        <f t="shared" si="76"/>
        <v>2500000</v>
      </c>
      <c r="AA164" s="1539">
        <f t="shared" si="75"/>
        <v>0.33466666666666667</v>
      </c>
      <c r="AB164" s="1538">
        <f>Z164+N164</f>
        <v>107706700</v>
      </c>
      <c r="AC164" s="1591">
        <f t="shared" si="62"/>
        <v>0.35228070175438597</v>
      </c>
      <c r="AD164" s="1574">
        <f t="shared" si="63"/>
        <v>0.14821200291176498</v>
      </c>
      <c r="AE164" s="1314"/>
    </row>
    <row r="165" spans="1:31" s="1298" customFormat="1" ht="14.25">
      <c r="A165" s="1314"/>
      <c r="B165" s="1314"/>
      <c r="C165" s="1314"/>
      <c r="D165" s="1314"/>
      <c r="E165" s="1314"/>
      <c r="F165" s="1314"/>
      <c r="G165" s="1314"/>
      <c r="H165" s="1314"/>
      <c r="I165" s="1579"/>
      <c r="J165" s="1614"/>
      <c r="K165" s="786"/>
      <c r="L165" s="786"/>
      <c r="M165" s="1570">
        <f t="shared" si="69"/>
        <v>0</v>
      </c>
      <c r="N165" s="786"/>
      <c r="O165" s="786"/>
      <c r="P165" s="786"/>
      <c r="Q165" s="1314"/>
      <c r="R165" s="1314"/>
      <c r="S165" s="1314"/>
      <c r="T165" s="1314"/>
      <c r="U165" s="1314"/>
      <c r="V165" s="1314"/>
      <c r="W165" s="1314"/>
      <c r="X165" s="1311"/>
      <c r="Y165" s="1540"/>
      <c r="Z165" s="1550"/>
      <c r="AA165" s="1539"/>
      <c r="AB165" s="1538"/>
      <c r="AC165" s="1615"/>
      <c r="AD165" s="1574"/>
      <c r="AE165" s="1314"/>
    </row>
    <row r="166" spans="1:31" s="1297" customFormat="1" ht="60.75" customHeight="1">
      <c r="A166" s="1300"/>
      <c r="B166" s="1300" t="s">
        <v>2299</v>
      </c>
      <c r="C166" s="1300">
        <v>1</v>
      </c>
      <c r="D166" s="1299" t="s">
        <v>66</v>
      </c>
      <c r="E166" s="1299" t="s">
        <v>65</v>
      </c>
      <c r="F166" s="1299" t="s">
        <v>67</v>
      </c>
      <c r="G166" s="1300"/>
      <c r="H166" s="1300"/>
      <c r="I166" s="1554" t="s">
        <v>2321</v>
      </c>
      <c r="J166" s="1616" t="s">
        <v>2322</v>
      </c>
      <c r="K166" s="1556">
        <v>1</v>
      </c>
      <c r="L166" s="1557">
        <v>7067548100</v>
      </c>
      <c r="M166" s="1617">
        <f t="shared" si="69"/>
        <v>0.33333333333333331</v>
      </c>
      <c r="N166" s="1583">
        <v>761992008</v>
      </c>
      <c r="O166" s="1618">
        <f>M166/2</f>
        <v>0.16666666666666666</v>
      </c>
      <c r="P166" s="1607" t="s">
        <v>2323</v>
      </c>
      <c r="Q166" s="1588">
        <f>SUM(Q167:Q175)/7</f>
        <v>3.6285714285714289E-2</v>
      </c>
      <c r="R166" s="1587">
        <f>SUM(R167:R175)</f>
        <v>19261125</v>
      </c>
      <c r="S166" s="1586">
        <v>0</v>
      </c>
      <c r="T166" s="1587">
        <f>SUM(T167:T173)</f>
        <v>0</v>
      </c>
      <c r="U166" s="1586">
        <v>0</v>
      </c>
      <c r="V166" s="1585">
        <f>SUM(V167:V173)</f>
        <v>0</v>
      </c>
      <c r="W166" s="1586">
        <v>0</v>
      </c>
      <c r="X166" s="1587">
        <f>SUM(X167:X173)</f>
        <v>0</v>
      </c>
      <c r="Y166" s="1588">
        <f>W166+U166+S166+Q166</f>
        <v>3.6285714285714289E-2</v>
      </c>
      <c r="Z166" s="1585">
        <f>SUM(Z167:Z173)</f>
        <v>16422125</v>
      </c>
      <c r="AA166" s="1600">
        <f>Y166+M166</f>
        <v>0.36961904761904762</v>
      </c>
      <c r="AB166" s="1585">
        <f t="shared" ref="AB166:AB175" si="77">Z166+N166</f>
        <v>778414133</v>
      </c>
      <c r="AC166" s="1565">
        <f t="shared" si="62"/>
        <v>0.36961904761904762</v>
      </c>
      <c r="AD166" s="1560">
        <f t="shared" si="63"/>
        <v>0.11013920556126106</v>
      </c>
      <c r="AE166" s="1612" t="s">
        <v>2272</v>
      </c>
    </row>
    <row r="167" spans="1:31" s="1298" customFormat="1" ht="51.75" customHeight="1">
      <c r="A167" s="1314"/>
      <c r="B167" s="1314"/>
      <c r="C167" s="1314">
        <v>1</v>
      </c>
      <c r="D167" s="1534" t="s">
        <v>66</v>
      </c>
      <c r="E167" s="1534" t="s">
        <v>65</v>
      </c>
      <c r="F167" s="1534" t="s">
        <v>67</v>
      </c>
      <c r="G167" s="1534" t="s">
        <v>66</v>
      </c>
      <c r="H167" s="1534"/>
      <c r="I167" s="1568" t="s">
        <v>2324</v>
      </c>
      <c r="J167" s="1619" t="s">
        <v>2325</v>
      </c>
      <c r="K167" s="1521">
        <v>0.97</v>
      </c>
      <c r="L167" s="1522">
        <v>2098352500</v>
      </c>
      <c r="M167" s="1570">
        <f t="shared" si="69"/>
        <v>0.32333333333333331</v>
      </c>
      <c r="N167" s="1569">
        <v>422605586</v>
      </c>
      <c r="O167" s="1620">
        <f t="shared" ref="O167:O183" si="78">M167/2</f>
        <v>0.16166666666666665</v>
      </c>
      <c r="P167" s="1569">
        <v>459436316</v>
      </c>
      <c r="Q167" s="1540">
        <v>4.1000000000000002E-2</v>
      </c>
      <c r="R167" s="1311">
        <v>4702000</v>
      </c>
      <c r="S167" s="1314">
        <v>0</v>
      </c>
      <c r="T167" s="1311">
        <v>0</v>
      </c>
      <c r="U167" s="1314">
        <v>0</v>
      </c>
      <c r="V167" s="1311">
        <v>0</v>
      </c>
      <c r="W167" s="1314">
        <v>0</v>
      </c>
      <c r="X167" s="1311">
        <v>0</v>
      </c>
      <c r="Y167" s="1540">
        <f>W167+U167+S167+Q167</f>
        <v>4.1000000000000002E-2</v>
      </c>
      <c r="Z167" s="1538">
        <f>X167+V167+T167+R167</f>
        <v>4702000</v>
      </c>
      <c r="AA167" s="1539">
        <f t="shared" ref="AA167:AB216" si="79">Y167+M167</f>
        <v>0.36433333333333329</v>
      </c>
      <c r="AB167" s="1538">
        <f t="shared" si="77"/>
        <v>427307586</v>
      </c>
      <c r="AC167" s="1591">
        <f t="shared" si="62"/>
        <v>0.37560137457044668</v>
      </c>
      <c r="AD167" s="1574">
        <f t="shared" si="63"/>
        <v>0.20363956294283253</v>
      </c>
      <c r="AE167" s="1314"/>
    </row>
    <row r="168" spans="1:31" s="1298" customFormat="1" ht="48" customHeight="1">
      <c r="A168" s="1314"/>
      <c r="B168" s="1314"/>
      <c r="C168" s="1314">
        <v>1</v>
      </c>
      <c r="D168" s="1534" t="s">
        <v>66</v>
      </c>
      <c r="E168" s="1534" t="s">
        <v>65</v>
      </c>
      <c r="F168" s="1534" t="s">
        <v>67</v>
      </c>
      <c r="G168" s="1534" t="s">
        <v>93</v>
      </c>
      <c r="H168" s="1534"/>
      <c r="I168" s="1568" t="s">
        <v>2326</v>
      </c>
      <c r="J168" s="786" t="s">
        <v>2327</v>
      </c>
      <c r="K168" s="1521">
        <v>0.85</v>
      </c>
      <c r="L168" s="1569">
        <v>504948000</v>
      </c>
      <c r="M168" s="1570">
        <f t="shared" si="69"/>
        <v>0.28333333333333333</v>
      </c>
      <c r="N168" s="1569">
        <v>36850060</v>
      </c>
      <c r="O168" s="1620">
        <f t="shared" si="78"/>
        <v>0.14166666666666666</v>
      </c>
      <c r="P168" s="1569">
        <v>43019960</v>
      </c>
      <c r="Q168" s="1540">
        <v>4.2000000000000003E-2</v>
      </c>
      <c r="R168" s="1311">
        <v>3018000</v>
      </c>
      <c r="S168" s="1314">
        <v>0</v>
      </c>
      <c r="T168" s="1311"/>
      <c r="U168" s="1314">
        <v>0</v>
      </c>
      <c r="V168" s="1311">
        <v>0</v>
      </c>
      <c r="W168" s="1314">
        <v>0</v>
      </c>
      <c r="X168" s="1311">
        <v>0</v>
      </c>
      <c r="Y168" s="1540">
        <f t="shared" ref="Y168:Z175" si="80">W168+U168+S168+Q168</f>
        <v>4.2000000000000003E-2</v>
      </c>
      <c r="Z168" s="1538">
        <f t="shared" si="80"/>
        <v>3018000</v>
      </c>
      <c r="AA168" s="1539">
        <f t="shared" si="79"/>
        <v>0.32533333333333331</v>
      </c>
      <c r="AB168" s="1538">
        <f t="shared" si="77"/>
        <v>39868060</v>
      </c>
      <c r="AC168" s="1591">
        <f t="shared" si="62"/>
        <v>0.38274509803921569</v>
      </c>
      <c r="AD168" s="1574">
        <f t="shared" si="63"/>
        <v>7.8954783462851619E-2</v>
      </c>
      <c r="AE168" s="1314"/>
    </row>
    <row r="169" spans="1:31" s="1298" customFormat="1" ht="38.25">
      <c r="A169" s="1314"/>
      <c r="B169" s="1314"/>
      <c r="C169" s="1314">
        <v>1</v>
      </c>
      <c r="D169" s="1534" t="s">
        <v>66</v>
      </c>
      <c r="E169" s="1534" t="s">
        <v>65</v>
      </c>
      <c r="F169" s="1534" t="s">
        <v>67</v>
      </c>
      <c r="G169" s="1534" t="s">
        <v>201</v>
      </c>
      <c r="H169" s="1534"/>
      <c r="I169" s="1568" t="s">
        <v>2328</v>
      </c>
      <c r="J169" s="1604" t="s">
        <v>2329</v>
      </c>
      <c r="K169" s="1521">
        <v>1</v>
      </c>
      <c r="L169" s="1522">
        <v>448869500</v>
      </c>
      <c r="M169" s="1570">
        <f t="shared" si="69"/>
        <v>0.33333333333333331</v>
      </c>
      <c r="N169" s="1569">
        <v>22881700</v>
      </c>
      <c r="O169" s="1620">
        <f t="shared" si="78"/>
        <v>0.16666666666666666</v>
      </c>
      <c r="P169" s="1569">
        <v>28353434</v>
      </c>
      <c r="Q169" s="1540">
        <v>3.4000000000000002E-2</v>
      </c>
      <c r="R169" s="1311">
        <v>1524000</v>
      </c>
      <c r="S169" s="1314">
        <v>0</v>
      </c>
      <c r="T169" s="1311">
        <v>0</v>
      </c>
      <c r="U169" s="1314">
        <v>0</v>
      </c>
      <c r="V169" s="1311">
        <v>0</v>
      </c>
      <c r="W169" s="1314">
        <v>0</v>
      </c>
      <c r="X169" s="1311">
        <v>0</v>
      </c>
      <c r="Y169" s="1540">
        <f t="shared" si="80"/>
        <v>3.4000000000000002E-2</v>
      </c>
      <c r="Z169" s="1538">
        <f t="shared" si="80"/>
        <v>1524000</v>
      </c>
      <c r="AA169" s="1539">
        <f t="shared" si="79"/>
        <v>0.36733333333333329</v>
      </c>
      <c r="AB169" s="1538">
        <f t="shared" si="77"/>
        <v>24405700</v>
      </c>
      <c r="AC169" s="1591">
        <f t="shared" si="62"/>
        <v>0.36733333333333329</v>
      </c>
      <c r="AD169" s="1574">
        <f t="shared" si="63"/>
        <v>5.4371482134562499E-2</v>
      </c>
      <c r="AE169" s="1314"/>
    </row>
    <row r="170" spans="1:31" s="1298" customFormat="1" ht="51">
      <c r="A170" s="1314"/>
      <c r="B170" s="1314"/>
      <c r="C170" s="1314"/>
      <c r="D170" s="1534"/>
      <c r="E170" s="1534"/>
      <c r="F170" s="1534"/>
      <c r="G170" s="1534"/>
      <c r="H170" s="1534"/>
      <c r="I170" s="1568"/>
      <c r="J170" s="1604" t="s">
        <v>2330</v>
      </c>
      <c r="K170" s="786"/>
      <c r="L170" s="1592"/>
      <c r="M170" s="1570"/>
      <c r="N170" s="1569"/>
      <c r="O170" s="1620"/>
      <c r="P170" s="1569"/>
      <c r="Q170" s="1540"/>
      <c r="R170" s="1311"/>
      <c r="S170" s="1314"/>
      <c r="T170" s="1311"/>
      <c r="U170" s="1314"/>
      <c r="V170" s="1311"/>
      <c r="W170" s="1314"/>
      <c r="X170" s="1311"/>
      <c r="Y170" s="1540"/>
      <c r="Z170" s="1538"/>
      <c r="AA170" s="1539"/>
      <c r="AB170" s="1538"/>
      <c r="AC170" s="1615"/>
      <c r="AD170" s="1574"/>
      <c r="AE170" s="1314"/>
    </row>
    <row r="171" spans="1:31" s="1298" customFormat="1" ht="43.5" customHeight="1">
      <c r="A171" s="1314"/>
      <c r="B171" s="1314"/>
      <c r="C171" s="1314">
        <v>1</v>
      </c>
      <c r="D171" s="1534" t="s">
        <v>66</v>
      </c>
      <c r="E171" s="1534" t="s">
        <v>65</v>
      </c>
      <c r="F171" s="1534" t="s">
        <v>67</v>
      </c>
      <c r="G171" s="1534" t="s">
        <v>202</v>
      </c>
      <c r="H171" s="1534"/>
      <c r="I171" s="1568" t="s">
        <v>2331</v>
      </c>
      <c r="J171" s="1604" t="s">
        <v>2332</v>
      </c>
      <c r="K171" s="1521">
        <v>0.85</v>
      </c>
      <c r="L171" s="1522">
        <v>1227135200</v>
      </c>
      <c r="M171" s="1570">
        <f t="shared" si="69"/>
        <v>0.28333333333333333</v>
      </c>
      <c r="N171" s="1569">
        <v>113720236</v>
      </c>
      <c r="O171" s="1620">
        <f t="shared" si="78"/>
        <v>0.14166666666666666</v>
      </c>
      <c r="P171" s="1569">
        <v>116335379</v>
      </c>
      <c r="Q171" s="1540">
        <v>3.1E-2</v>
      </c>
      <c r="R171" s="1314">
        <v>0</v>
      </c>
      <c r="S171" s="1314">
        <v>0</v>
      </c>
      <c r="T171" s="1311">
        <v>0</v>
      </c>
      <c r="U171" s="1314">
        <v>0</v>
      </c>
      <c r="V171" s="1311">
        <v>0</v>
      </c>
      <c r="W171" s="1314">
        <v>0</v>
      </c>
      <c r="X171" s="1311">
        <v>0</v>
      </c>
      <c r="Y171" s="1540">
        <f t="shared" si="80"/>
        <v>3.1E-2</v>
      </c>
      <c r="Z171" s="1538">
        <f t="shared" si="80"/>
        <v>0</v>
      </c>
      <c r="AA171" s="1539">
        <f t="shared" si="79"/>
        <v>0.31433333333333335</v>
      </c>
      <c r="AB171" s="1538">
        <f t="shared" si="77"/>
        <v>113720236</v>
      </c>
      <c r="AC171" s="1591">
        <f t="shared" si="62"/>
        <v>0.36980392156862746</v>
      </c>
      <c r="AD171" s="1574">
        <f t="shared" si="63"/>
        <v>9.2671317716254906E-2</v>
      </c>
      <c r="AE171" s="1314"/>
    </row>
    <row r="172" spans="1:31" s="1298" customFormat="1" ht="43.5" customHeight="1">
      <c r="A172" s="1314"/>
      <c r="B172" s="1314"/>
      <c r="C172" s="1314"/>
      <c r="D172" s="1534"/>
      <c r="E172" s="1534"/>
      <c r="F172" s="1534"/>
      <c r="G172" s="1534"/>
      <c r="H172" s="1534"/>
      <c r="I172" s="1568"/>
      <c r="J172" s="1604" t="s">
        <v>2333</v>
      </c>
      <c r="K172" s="786"/>
      <c r="L172" s="1592"/>
      <c r="M172" s="1570"/>
      <c r="N172" s="1569"/>
      <c r="O172" s="1620"/>
      <c r="P172" s="1569"/>
      <c r="Q172" s="1314"/>
      <c r="R172" s="1314"/>
      <c r="S172" s="1314"/>
      <c r="T172" s="1311"/>
      <c r="U172" s="1314"/>
      <c r="V172" s="1311"/>
      <c r="W172" s="1314"/>
      <c r="X172" s="1311"/>
      <c r="Y172" s="1540"/>
      <c r="Z172" s="1538"/>
      <c r="AA172" s="1539"/>
      <c r="AB172" s="1538"/>
      <c r="AC172" s="1615"/>
      <c r="AD172" s="1574"/>
      <c r="AE172" s="1314"/>
    </row>
    <row r="173" spans="1:31" s="1298" customFormat="1" ht="48" customHeight="1">
      <c r="A173" s="1314"/>
      <c r="B173" s="1314"/>
      <c r="C173" s="1314">
        <v>1</v>
      </c>
      <c r="D173" s="1534" t="s">
        <v>66</v>
      </c>
      <c r="E173" s="1534" t="s">
        <v>65</v>
      </c>
      <c r="F173" s="1534" t="s">
        <v>67</v>
      </c>
      <c r="G173" s="1534" t="s">
        <v>417</v>
      </c>
      <c r="H173" s="1534"/>
      <c r="I173" s="1568" t="s">
        <v>2334</v>
      </c>
      <c r="J173" s="786" t="s">
        <v>2335</v>
      </c>
      <c r="K173" s="1521">
        <v>0.89</v>
      </c>
      <c r="L173" s="1569">
        <v>812478900</v>
      </c>
      <c r="M173" s="1570">
        <f t="shared" si="69"/>
        <v>0.29666666666666669</v>
      </c>
      <c r="N173" s="1569">
        <v>165934426</v>
      </c>
      <c r="O173" s="1620">
        <f t="shared" si="78"/>
        <v>0.14833333333333334</v>
      </c>
      <c r="P173" s="1569">
        <v>249971767</v>
      </c>
      <c r="Q173" s="1540">
        <v>3.2000000000000001E-2</v>
      </c>
      <c r="R173" s="1311">
        <v>7178125</v>
      </c>
      <c r="S173" s="1314">
        <v>0</v>
      </c>
      <c r="T173" s="1311">
        <v>0</v>
      </c>
      <c r="U173" s="1314">
        <v>0</v>
      </c>
      <c r="V173" s="1311">
        <v>0</v>
      </c>
      <c r="W173" s="1314">
        <v>0</v>
      </c>
      <c r="X173" s="1311">
        <v>0</v>
      </c>
      <c r="Y173" s="1540">
        <f t="shared" si="80"/>
        <v>3.2000000000000001E-2</v>
      </c>
      <c r="Z173" s="1538">
        <f t="shared" si="80"/>
        <v>7178125</v>
      </c>
      <c r="AA173" s="1621"/>
      <c r="AB173" s="1538">
        <f t="shared" si="77"/>
        <v>173112551</v>
      </c>
      <c r="AC173" s="1591">
        <f t="shared" si="62"/>
        <v>0</v>
      </c>
      <c r="AD173" s="1574">
        <f t="shared" si="63"/>
        <v>0.21306713442035233</v>
      </c>
      <c r="AE173" s="1314"/>
    </row>
    <row r="174" spans="1:31" s="1298" customFormat="1" ht="48" customHeight="1">
      <c r="A174" s="1314"/>
      <c r="B174" s="1314"/>
      <c r="C174" s="1314">
        <v>1</v>
      </c>
      <c r="D174" s="1534" t="s">
        <v>66</v>
      </c>
      <c r="E174" s="1534" t="s">
        <v>65</v>
      </c>
      <c r="F174" s="1534">
        <v>21</v>
      </c>
      <c r="G174" s="1534">
        <v>12</v>
      </c>
      <c r="H174" s="1534"/>
      <c r="I174" s="1568" t="s">
        <v>2336</v>
      </c>
      <c r="J174" s="1385" t="s">
        <v>2337</v>
      </c>
      <c r="K174" s="1521">
        <v>0.9</v>
      </c>
      <c r="L174" s="1569">
        <v>1032245000</v>
      </c>
      <c r="M174" s="1570">
        <f t="shared" si="69"/>
        <v>0.3</v>
      </c>
      <c r="N174" s="1569">
        <v>0</v>
      </c>
      <c r="O174" s="1620">
        <f t="shared" si="78"/>
        <v>0.15</v>
      </c>
      <c r="P174" s="1569">
        <v>35280582</v>
      </c>
      <c r="Q174" s="1540">
        <v>4.2000000000000003E-2</v>
      </c>
      <c r="R174" s="1311">
        <v>1574000</v>
      </c>
      <c r="S174" s="1314"/>
      <c r="T174" s="1311"/>
      <c r="U174" s="1314"/>
      <c r="V174" s="1311"/>
      <c r="W174" s="1314"/>
      <c r="X174" s="1311"/>
      <c r="Y174" s="1540">
        <f t="shared" si="80"/>
        <v>4.2000000000000003E-2</v>
      </c>
      <c r="Z174" s="1538">
        <f t="shared" si="80"/>
        <v>1574000</v>
      </c>
      <c r="AA174" s="1539">
        <f>Y173+M173</f>
        <v>0.32866666666666666</v>
      </c>
      <c r="AB174" s="1538">
        <f t="shared" si="77"/>
        <v>1574000</v>
      </c>
      <c r="AC174" s="1591">
        <f t="shared" si="62"/>
        <v>0.36518518518518517</v>
      </c>
      <c r="AD174" s="1574">
        <f t="shared" si="63"/>
        <v>1.5248317986524516E-3</v>
      </c>
      <c r="AE174" s="1314"/>
    </row>
    <row r="175" spans="1:31" s="1298" customFormat="1" ht="48" customHeight="1" thickBot="1">
      <c r="A175" s="1314"/>
      <c r="B175" s="1314"/>
      <c r="C175" s="1314">
        <v>1</v>
      </c>
      <c r="D175" s="1534" t="s">
        <v>66</v>
      </c>
      <c r="E175" s="1534" t="s">
        <v>65</v>
      </c>
      <c r="F175" s="1534">
        <v>21</v>
      </c>
      <c r="G175" s="1534">
        <v>13</v>
      </c>
      <c r="H175" s="1534"/>
      <c r="I175" s="1568" t="s">
        <v>2338</v>
      </c>
      <c r="J175" s="1385" t="s">
        <v>2339</v>
      </c>
      <c r="K175" s="1521">
        <v>0.9</v>
      </c>
      <c r="L175" s="1569">
        <v>943519000</v>
      </c>
      <c r="M175" s="1570">
        <f t="shared" si="69"/>
        <v>0.3</v>
      </c>
      <c r="N175" s="1569">
        <v>0</v>
      </c>
      <c r="O175" s="1620">
        <f t="shared" si="78"/>
        <v>0.15</v>
      </c>
      <c r="P175" s="1569">
        <v>36271241</v>
      </c>
      <c r="Q175" s="1540">
        <v>3.2000000000000001E-2</v>
      </c>
      <c r="R175" s="1311">
        <v>1265000</v>
      </c>
      <c r="S175" s="1314"/>
      <c r="T175" s="1311"/>
      <c r="U175" s="1314"/>
      <c r="V175" s="1311"/>
      <c r="W175" s="1314"/>
      <c r="X175" s="1311"/>
      <c r="Y175" s="1540">
        <f t="shared" si="80"/>
        <v>3.2000000000000001E-2</v>
      </c>
      <c r="Z175" s="1538">
        <f t="shared" si="80"/>
        <v>1265000</v>
      </c>
      <c r="AA175" s="1539">
        <f>Y174+M174</f>
        <v>0.34199999999999997</v>
      </c>
      <c r="AB175" s="1538">
        <f t="shared" si="77"/>
        <v>1265000</v>
      </c>
      <c r="AC175" s="1591">
        <f t="shared" si="62"/>
        <v>0.37999999999999995</v>
      </c>
      <c r="AD175" s="1574">
        <f t="shared" si="63"/>
        <v>1.34072551798109E-3</v>
      </c>
      <c r="AE175" s="1314"/>
    </row>
    <row r="176" spans="1:31" s="1297" customFormat="1" ht="60" customHeight="1" thickBot="1">
      <c r="A176" s="1300"/>
      <c r="B176" s="1622" t="s">
        <v>2311</v>
      </c>
      <c r="C176" s="1300">
        <v>1</v>
      </c>
      <c r="D176" s="1299" t="s">
        <v>66</v>
      </c>
      <c r="E176" s="1299" t="s">
        <v>65</v>
      </c>
      <c r="F176" s="1299" t="s">
        <v>163</v>
      </c>
      <c r="G176" s="1300"/>
      <c r="H176" s="1300"/>
      <c r="I176" s="1554" t="s">
        <v>2340</v>
      </c>
      <c r="J176" s="1555" t="s">
        <v>2341</v>
      </c>
      <c r="K176" s="1556">
        <f>SUM(K177:K183)/7</f>
        <v>0.98142857142857143</v>
      </c>
      <c r="L176" s="1557">
        <v>10450960000</v>
      </c>
      <c r="M176" s="1617">
        <f t="shared" si="69"/>
        <v>0.32714285714285712</v>
      </c>
      <c r="N176" s="1583">
        <f>SUM(N177:N183)</f>
        <v>577449879</v>
      </c>
      <c r="O176" s="1618">
        <f t="shared" si="78"/>
        <v>0.16357142857142856</v>
      </c>
      <c r="P176" s="1583">
        <v>120294440</v>
      </c>
      <c r="Q176" s="1588">
        <f>SUM(Q177:Q183)/7</f>
        <v>1.7142857142857144E-2</v>
      </c>
      <c r="R176" s="1587">
        <f>SUM(R177:R183)</f>
        <v>49471100</v>
      </c>
      <c r="S176" s="1623">
        <v>0</v>
      </c>
      <c r="T176" s="1587">
        <f>SUM(T177:T182)</f>
        <v>0</v>
      </c>
      <c r="U176" s="1623">
        <v>0</v>
      </c>
      <c r="V176" s="1585">
        <f>SUM(V177:V182)</f>
        <v>0</v>
      </c>
      <c r="W176" s="1623">
        <v>0</v>
      </c>
      <c r="X176" s="1587">
        <f>SUM(X177:X182)</f>
        <v>0</v>
      </c>
      <c r="Y176" s="1588">
        <f>W176+U176+S176+Q176</f>
        <v>1.7142857142857144E-2</v>
      </c>
      <c r="Z176" s="1585">
        <f>SUM(Z177:Z182)</f>
        <v>42625100</v>
      </c>
      <c r="AA176" s="1600">
        <f t="shared" si="79"/>
        <v>0.34428571428571425</v>
      </c>
      <c r="AB176" s="1585">
        <f t="shared" si="79"/>
        <v>620074979</v>
      </c>
      <c r="AC176" s="1615">
        <f t="shared" si="62"/>
        <v>0.35080058224163024</v>
      </c>
      <c r="AD176" s="1624">
        <f t="shared" si="63"/>
        <v>5.9331867981506005E-2</v>
      </c>
      <c r="AE176" s="1612" t="s">
        <v>2272</v>
      </c>
    </row>
    <row r="177" spans="1:31" s="1298" customFormat="1" ht="30" customHeight="1">
      <c r="A177" s="1314"/>
      <c r="B177" s="1314"/>
      <c r="C177" s="1314">
        <v>1</v>
      </c>
      <c r="D177" s="1534" t="s">
        <v>66</v>
      </c>
      <c r="E177" s="1534" t="s">
        <v>65</v>
      </c>
      <c r="F177" s="1534" t="s">
        <v>163</v>
      </c>
      <c r="G177" s="1534" t="s">
        <v>66</v>
      </c>
      <c r="H177" s="1534"/>
      <c r="I177" s="1568" t="s">
        <v>2342</v>
      </c>
      <c r="J177" s="786" t="s">
        <v>2343</v>
      </c>
      <c r="K177" s="1521">
        <v>0.98</v>
      </c>
      <c r="L177" s="1569">
        <v>1875000000</v>
      </c>
      <c r="M177" s="1570">
        <f t="shared" si="69"/>
        <v>0.32666666666666666</v>
      </c>
      <c r="N177" s="1569">
        <v>159828000</v>
      </c>
      <c r="O177" s="1620">
        <f t="shared" si="78"/>
        <v>0.16333333333333333</v>
      </c>
      <c r="P177" s="1569">
        <v>259322423</v>
      </c>
      <c r="Q177" s="1540">
        <v>1.2E-2</v>
      </c>
      <c r="R177" s="1538">
        <v>0</v>
      </c>
      <c r="S177" s="1314">
        <v>0</v>
      </c>
      <c r="T177" s="1311">
        <v>0</v>
      </c>
      <c r="U177" s="1314">
        <v>0</v>
      </c>
      <c r="V177" s="1311">
        <v>0</v>
      </c>
      <c r="W177" s="1314">
        <v>0</v>
      </c>
      <c r="X177" s="1311">
        <v>0</v>
      </c>
      <c r="Y177" s="1540">
        <f>W177+U177+S177+Q177</f>
        <v>1.2E-2</v>
      </c>
      <c r="Z177" s="1538">
        <f>X177+V177+T177+R177</f>
        <v>0</v>
      </c>
      <c r="AA177" s="1539">
        <f t="shared" si="79"/>
        <v>0.33866666666666667</v>
      </c>
      <c r="AB177" s="1538">
        <f t="shared" si="79"/>
        <v>159828000</v>
      </c>
      <c r="AC177" s="1591">
        <f t="shared" si="62"/>
        <v>0.34557823129251702</v>
      </c>
      <c r="AD177" s="1574">
        <f t="shared" si="63"/>
        <v>8.5241600000000001E-2</v>
      </c>
      <c r="AE177" s="1314"/>
    </row>
    <row r="178" spans="1:31" s="1298" customFormat="1" ht="43.5" customHeight="1">
      <c r="A178" s="1314"/>
      <c r="B178" s="1314"/>
      <c r="C178" s="1314">
        <v>1</v>
      </c>
      <c r="D178" s="1534" t="s">
        <v>66</v>
      </c>
      <c r="E178" s="1534" t="s">
        <v>65</v>
      </c>
      <c r="F178" s="1534" t="s">
        <v>163</v>
      </c>
      <c r="G178" s="1534" t="s">
        <v>161</v>
      </c>
      <c r="H178" s="1534"/>
      <c r="I178" s="1568" t="s">
        <v>2344</v>
      </c>
      <c r="J178" s="786" t="s">
        <v>2345</v>
      </c>
      <c r="K178" s="1521">
        <v>0.98</v>
      </c>
      <c r="L178" s="1569">
        <v>1850000000</v>
      </c>
      <c r="M178" s="1570">
        <f t="shared" si="69"/>
        <v>0.32666666666666666</v>
      </c>
      <c r="N178" s="1569">
        <v>127722364</v>
      </c>
      <c r="O178" s="1620">
        <f t="shared" si="78"/>
        <v>0.16333333333333333</v>
      </c>
      <c r="P178" s="1569">
        <v>167466565</v>
      </c>
      <c r="Q178" s="1540">
        <v>2.5000000000000001E-2</v>
      </c>
      <c r="R178" s="1311">
        <v>17249400</v>
      </c>
      <c r="S178" s="1625">
        <v>0</v>
      </c>
      <c r="T178" s="1311">
        <v>0</v>
      </c>
      <c r="U178" s="1537">
        <v>0</v>
      </c>
      <c r="V178" s="1311">
        <v>0</v>
      </c>
      <c r="W178" s="1537">
        <v>0</v>
      </c>
      <c r="X178" s="1311">
        <v>0</v>
      </c>
      <c r="Y178" s="1540">
        <f t="shared" ref="Y178:Z189" si="81">W178+U178+S178+Q178</f>
        <v>2.5000000000000001E-2</v>
      </c>
      <c r="Z178" s="1538">
        <f t="shared" si="81"/>
        <v>17249400</v>
      </c>
      <c r="AA178" s="1539">
        <f t="shared" si="79"/>
        <v>0.35166666666666668</v>
      </c>
      <c r="AB178" s="1538">
        <f t="shared" si="79"/>
        <v>144971764</v>
      </c>
      <c r="AC178" s="1591">
        <f t="shared" si="62"/>
        <v>0.358843537414966</v>
      </c>
      <c r="AD178" s="1574">
        <f t="shared" si="63"/>
        <v>7.8363115675675679E-2</v>
      </c>
      <c r="AE178" s="1314"/>
    </row>
    <row r="179" spans="1:31" s="1298" customFormat="1" ht="31.5" customHeight="1">
      <c r="A179" s="1314"/>
      <c r="B179" s="1314"/>
      <c r="C179" s="1314">
        <v>1</v>
      </c>
      <c r="D179" s="1534" t="s">
        <v>66</v>
      </c>
      <c r="E179" s="1534" t="s">
        <v>65</v>
      </c>
      <c r="F179" s="1534" t="s">
        <v>163</v>
      </c>
      <c r="G179" s="1534" t="s">
        <v>197</v>
      </c>
      <c r="H179" s="1534"/>
      <c r="I179" s="1568" t="s">
        <v>2346</v>
      </c>
      <c r="J179" s="786" t="s">
        <v>2347</v>
      </c>
      <c r="K179" s="1521">
        <v>0.98</v>
      </c>
      <c r="L179" s="1569">
        <v>2295000000</v>
      </c>
      <c r="M179" s="1570">
        <f t="shared" si="69"/>
        <v>0.32666666666666666</v>
      </c>
      <c r="N179" s="1569">
        <v>24368400</v>
      </c>
      <c r="O179" s="1620">
        <f t="shared" si="78"/>
        <v>0.16333333333333333</v>
      </c>
      <c r="P179" s="1569">
        <v>54539451</v>
      </c>
      <c r="Q179" s="1540">
        <v>2.1000000000000001E-2</v>
      </c>
      <c r="R179" s="1311">
        <v>615000</v>
      </c>
      <c r="S179" s="1314">
        <v>0</v>
      </c>
      <c r="T179" s="1311">
        <v>0</v>
      </c>
      <c r="U179" s="1314">
        <v>0</v>
      </c>
      <c r="V179" s="1311">
        <v>0</v>
      </c>
      <c r="W179" s="1314">
        <v>0</v>
      </c>
      <c r="X179" s="1311">
        <v>0</v>
      </c>
      <c r="Y179" s="1540">
        <f t="shared" si="81"/>
        <v>2.1000000000000001E-2</v>
      </c>
      <c r="Z179" s="1538">
        <f t="shared" si="81"/>
        <v>615000</v>
      </c>
      <c r="AA179" s="1539">
        <f t="shared" si="79"/>
        <v>0.34766666666666668</v>
      </c>
      <c r="AB179" s="1538">
        <f t="shared" si="79"/>
        <v>24983400</v>
      </c>
      <c r="AC179" s="1591">
        <f t="shared" si="62"/>
        <v>0.35476190476190478</v>
      </c>
      <c r="AD179" s="1574">
        <f t="shared" si="63"/>
        <v>1.0886013071895425E-2</v>
      </c>
      <c r="AE179" s="1314"/>
    </row>
    <row r="180" spans="1:31" s="1298" customFormat="1" ht="44.25" customHeight="1">
      <c r="A180" s="1314"/>
      <c r="B180" s="1314"/>
      <c r="C180" s="1314">
        <v>1</v>
      </c>
      <c r="D180" s="1534" t="s">
        <v>66</v>
      </c>
      <c r="E180" s="1534" t="s">
        <v>65</v>
      </c>
      <c r="F180" s="1534" t="s">
        <v>163</v>
      </c>
      <c r="G180" s="1534" t="s">
        <v>93</v>
      </c>
      <c r="H180" s="1534"/>
      <c r="I180" s="1568" t="s">
        <v>2348</v>
      </c>
      <c r="J180" s="786" t="s">
        <v>2345</v>
      </c>
      <c r="K180" s="1521">
        <v>0.98</v>
      </c>
      <c r="L180" s="1569">
        <v>2560960000</v>
      </c>
      <c r="M180" s="1570">
        <f t="shared" si="69"/>
        <v>0.32666666666666666</v>
      </c>
      <c r="N180" s="1569">
        <v>128061415</v>
      </c>
      <c r="O180" s="1620">
        <f t="shared" si="78"/>
        <v>0.16333333333333333</v>
      </c>
      <c r="P180" s="1569">
        <v>175577115</v>
      </c>
      <c r="Q180" s="1540">
        <v>1.2E-2</v>
      </c>
      <c r="R180" s="1311">
        <v>11044700</v>
      </c>
      <c r="S180" s="1314">
        <v>0</v>
      </c>
      <c r="T180" s="1311">
        <v>0</v>
      </c>
      <c r="U180" s="1314">
        <v>0</v>
      </c>
      <c r="V180" s="1311">
        <v>0</v>
      </c>
      <c r="W180" s="1314">
        <v>0</v>
      </c>
      <c r="X180" s="1311">
        <v>0</v>
      </c>
      <c r="Y180" s="1540">
        <f t="shared" si="81"/>
        <v>1.2E-2</v>
      </c>
      <c r="Z180" s="1538">
        <f t="shared" si="81"/>
        <v>11044700</v>
      </c>
      <c r="AA180" s="1539">
        <f t="shared" si="79"/>
        <v>0.33866666666666667</v>
      </c>
      <c r="AB180" s="1538">
        <f t="shared" si="79"/>
        <v>139106115</v>
      </c>
      <c r="AC180" s="1591">
        <f t="shared" si="62"/>
        <v>0.34557823129251702</v>
      </c>
      <c r="AD180" s="1574">
        <f t="shared" si="63"/>
        <v>5.4317956938023243E-2</v>
      </c>
      <c r="AE180" s="1314"/>
    </row>
    <row r="181" spans="1:31" s="1298" customFormat="1" ht="63.75">
      <c r="A181" s="1314"/>
      <c r="B181" s="1314"/>
      <c r="C181" s="1314">
        <v>1</v>
      </c>
      <c r="D181" s="1534" t="s">
        <v>66</v>
      </c>
      <c r="E181" s="1534" t="s">
        <v>65</v>
      </c>
      <c r="F181" s="1534" t="s">
        <v>163</v>
      </c>
      <c r="G181" s="1534" t="s">
        <v>201</v>
      </c>
      <c r="H181" s="1534"/>
      <c r="I181" s="1568" t="s">
        <v>2349</v>
      </c>
      <c r="J181" s="786" t="s">
        <v>2350</v>
      </c>
      <c r="K181" s="1521">
        <v>1</v>
      </c>
      <c r="L181" s="1569">
        <v>570000000</v>
      </c>
      <c r="M181" s="1570">
        <f t="shared" si="69"/>
        <v>0.33333333333333331</v>
      </c>
      <c r="N181" s="1569">
        <v>62793500</v>
      </c>
      <c r="O181" s="1620">
        <f t="shared" si="78"/>
        <v>0.16666666666666666</v>
      </c>
      <c r="P181" s="1569">
        <v>95056696</v>
      </c>
      <c r="Q181" s="1540">
        <v>1.4E-2</v>
      </c>
      <c r="R181" s="1311">
        <v>7760000</v>
      </c>
      <c r="S181" s="1314">
        <v>0</v>
      </c>
      <c r="T181" s="1311">
        <v>0</v>
      </c>
      <c r="U181" s="1314">
        <v>0</v>
      </c>
      <c r="V181" s="1311">
        <v>0</v>
      </c>
      <c r="W181" s="1314">
        <v>0</v>
      </c>
      <c r="X181" s="1311">
        <v>0</v>
      </c>
      <c r="Y181" s="1540">
        <f t="shared" si="81"/>
        <v>1.4E-2</v>
      </c>
      <c r="Z181" s="1538">
        <f t="shared" si="81"/>
        <v>7760000</v>
      </c>
      <c r="AA181" s="1539">
        <f t="shared" si="79"/>
        <v>0.34733333333333333</v>
      </c>
      <c r="AB181" s="1538">
        <f t="shared" si="79"/>
        <v>70553500</v>
      </c>
      <c r="AC181" s="1591">
        <f t="shared" si="62"/>
        <v>0.34733333333333333</v>
      </c>
      <c r="AD181" s="1574">
        <f t="shared" si="63"/>
        <v>0.1237780701754386</v>
      </c>
      <c r="AE181" s="1314"/>
    </row>
    <row r="182" spans="1:31" s="1298" customFormat="1" ht="63.75">
      <c r="A182" s="1314"/>
      <c r="B182" s="1314"/>
      <c r="C182" s="1314">
        <v>1</v>
      </c>
      <c r="D182" s="1534" t="s">
        <v>66</v>
      </c>
      <c r="E182" s="1534" t="s">
        <v>65</v>
      </c>
      <c r="F182" s="1534" t="s">
        <v>163</v>
      </c>
      <c r="G182" s="1534" t="s">
        <v>155</v>
      </c>
      <c r="H182" s="1534"/>
      <c r="I182" s="1568" t="s">
        <v>2351</v>
      </c>
      <c r="J182" s="786" t="s">
        <v>2352</v>
      </c>
      <c r="K182" s="1521">
        <v>0.95</v>
      </c>
      <c r="L182" s="1569">
        <v>725000000</v>
      </c>
      <c r="M182" s="1570">
        <f t="shared" si="69"/>
        <v>0.31666666666666665</v>
      </c>
      <c r="N182" s="1569">
        <v>74676200</v>
      </c>
      <c r="O182" s="1620">
        <f t="shared" si="78"/>
        <v>0.15833333333333333</v>
      </c>
      <c r="P182" s="1569">
        <v>83838651</v>
      </c>
      <c r="Q182" s="1540">
        <v>1.2999999999999999E-2</v>
      </c>
      <c r="R182" s="1311">
        <v>5956000</v>
      </c>
      <c r="S182" s="1314">
        <v>0</v>
      </c>
      <c r="T182" s="1311">
        <v>0</v>
      </c>
      <c r="U182" s="1314">
        <v>0</v>
      </c>
      <c r="V182" s="1311">
        <v>0</v>
      </c>
      <c r="W182" s="1314">
        <v>0</v>
      </c>
      <c r="X182" s="1311">
        <v>0</v>
      </c>
      <c r="Y182" s="1540">
        <f t="shared" si="81"/>
        <v>1.2999999999999999E-2</v>
      </c>
      <c r="Z182" s="1538">
        <f t="shared" si="81"/>
        <v>5956000</v>
      </c>
      <c r="AA182" s="1539">
        <f t="shared" si="79"/>
        <v>0.32966666666666666</v>
      </c>
      <c r="AB182" s="1538">
        <f t="shared" si="79"/>
        <v>80632200</v>
      </c>
      <c r="AC182" s="1591">
        <f t="shared" si="62"/>
        <v>0.34701754385964911</v>
      </c>
      <c r="AD182" s="1574">
        <f t="shared" si="63"/>
        <v>0.11121682758620689</v>
      </c>
      <c r="AE182" s="1314"/>
    </row>
    <row r="183" spans="1:31" s="1298" customFormat="1" ht="89.25">
      <c r="A183" s="1314"/>
      <c r="B183" s="1314"/>
      <c r="C183" s="1314">
        <v>1</v>
      </c>
      <c r="D183" s="1534" t="s">
        <v>66</v>
      </c>
      <c r="E183" s="1534" t="s">
        <v>65</v>
      </c>
      <c r="F183" s="1534">
        <v>22</v>
      </c>
      <c r="G183" s="1534">
        <v>13</v>
      </c>
      <c r="H183" s="1534"/>
      <c r="I183" s="1568" t="s">
        <v>2353</v>
      </c>
      <c r="J183" s="1523" t="s">
        <v>2354</v>
      </c>
      <c r="K183" s="1521">
        <v>1</v>
      </c>
      <c r="L183" s="1569">
        <v>575000000</v>
      </c>
      <c r="M183" s="1570">
        <f t="shared" si="69"/>
        <v>0.33333333333333331</v>
      </c>
      <c r="N183" s="1569">
        <v>0</v>
      </c>
      <c r="O183" s="1620">
        <f t="shared" si="78"/>
        <v>0.16666666666666666</v>
      </c>
      <c r="P183" s="1569">
        <v>66569211</v>
      </c>
      <c r="Q183" s="1540">
        <v>2.3E-2</v>
      </c>
      <c r="R183" s="1311">
        <v>6846000</v>
      </c>
      <c r="S183" s="1314"/>
      <c r="T183" s="1311"/>
      <c r="U183" s="1314"/>
      <c r="V183" s="1311"/>
      <c r="W183" s="1314"/>
      <c r="X183" s="1311"/>
      <c r="Y183" s="1540">
        <f t="shared" si="81"/>
        <v>2.3E-2</v>
      </c>
      <c r="Z183" s="1538">
        <f t="shared" si="81"/>
        <v>6846000</v>
      </c>
      <c r="AA183" s="1539"/>
      <c r="AB183" s="1538"/>
      <c r="AC183" s="1591">
        <f t="shared" si="62"/>
        <v>0</v>
      </c>
      <c r="AD183" s="1574">
        <f t="shared" si="63"/>
        <v>0</v>
      </c>
      <c r="AE183" s="1549"/>
    </row>
    <row r="184" spans="1:31" s="1297" customFormat="1" ht="48" customHeight="1">
      <c r="A184" s="1300"/>
      <c r="B184" s="1314" t="s">
        <v>2268</v>
      </c>
      <c r="C184" s="1300">
        <v>1</v>
      </c>
      <c r="D184" s="1299" t="s">
        <v>66</v>
      </c>
      <c r="E184" s="1299" t="s">
        <v>65</v>
      </c>
      <c r="F184" s="1299" t="s">
        <v>360</v>
      </c>
      <c r="G184" s="1300"/>
      <c r="H184" s="1300"/>
      <c r="I184" s="1554" t="s">
        <v>2355</v>
      </c>
      <c r="J184" s="1626" t="s">
        <v>2356</v>
      </c>
      <c r="K184" s="1597">
        <v>1</v>
      </c>
      <c r="L184" s="1598">
        <v>14783911700</v>
      </c>
      <c r="M184" s="1627">
        <f t="shared" si="69"/>
        <v>0.33333333333333331</v>
      </c>
      <c r="N184" s="1583">
        <v>1499238280</v>
      </c>
      <c r="O184" s="1599">
        <f>M184/2</f>
        <v>0.16666666666666666</v>
      </c>
      <c r="P184" s="1607" t="s">
        <v>2357</v>
      </c>
      <c r="Q184" s="1564">
        <v>3.8699999999999998E-2</v>
      </c>
      <c r="R184" s="1585">
        <f>SUM(R185:R189)</f>
        <v>88610116</v>
      </c>
      <c r="S184" s="1586">
        <v>0</v>
      </c>
      <c r="T184" s="1587">
        <f>SUM(T185:T189)</f>
        <v>0</v>
      </c>
      <c r="U184" s="1586">
        <v>0</v>
      </c>
      <c r="V184" s="1585">
        <f>SUM(V185:V189)</f>
        <v>0</v>
      </c>
      <c r="W184" s="1586">
        <v>0</v>
      </c>
      <c r="X184" s="1527">
        <f>SUM(X185:X189)</f>
        <v>0</v>
      </c>
      <c r="Y184" s="1532">
        <f t="shared" si="81"/>
        <v>3.8699999999999998E-2</v>
      </c>
      <c r="Z184" s="1530">
        <f>SUM(Z185:Z189)</f>
        <v>88610116</v>
      </c>
      <c r="AA184" s="1546">
        <f t="shared" si="79"/>
        <v>0.37203333333333333</v>
      </c>
      <c r="AB184" s="1530">
        <f t="shared" si="79"/>
        <v>1587848396</v>
      </c>
      <c r="AC184" s="1628">
        <f t="shared" ref="AC184:AC216" si="82">(AA184/K184)*100%</f>
        <v>0.37203333333333333</v>
      </c>
      <c r="AD184" s="1629">
        <f t="shared" ref="AD184:AD216" si="83">AB184/L184</f>
        <v>0.107403806801687</v>
      </c>
      <c r="AE184" s="1612" t="s">
        <v>2272</v>
      </c>
    </row>
    <row r="185" spans="1:31" s="1298" customFormat="1" ht="73.5" customHeight="1">
      <c r="A185" s="1314"/>
      <c r="B185" s="1314"/>
      <c r="C185" s="1314">
        <v>1</v>
      </c>
      <c r="D185" s="1534" t="s">
        <v>66</v>
      </c>
      <c r="E185" s="1534" t="s">
        <v>65</v>
      </c>
      <c r="F185" s="1534" t="s">
        <v>360</v>
      </c>
      <c r="G185" s="1534" t="s">
        <v>198</v>
      </c>
      <c r="H185" s="1534"/>
      <c r="I185" s="1568" t="s">
        <v>2358</v>
      </c>
      <c r="J185" s="786" t="s">
        <v>2359</v>
      </c>
      <c r="K185" s="1521">
        <v>1</v>
      </c>
      <c r="L185" s="1569">
        <v>3919555000</v>
      </c>
      <c r="M185" s="1570">
        <f t="shared" si="69"/>
        <v>0.33333333333333331</v>
      </c>
      <c r="N185" s="1569">
        <v>450762438</v>
      </c>
      <c r="O185" s="1605">
        <f t="shared" ref="O185:O196" si="84">M185/2</f>
        <v>0.16666666666666666</v>
      </c>
      <c r="P185" s="1569">
        <v>519246807</v>
      </c>
      <c r="Q185" s="1536">
        <v>3.7999999999999999E-2</v>
      </c>
      <c r="R185" s="1311">
        <v>19733200</v>
      </c>
      <c r="S185" s="1314">
        <v>0</v>
      </c>
      <c r="T185" s="1311">
        <v>0</v>
      </c>
      <c r="U185" s="1314">
        <v>0</v>
      </c>
      <c r="V185" s="1311">
        <v>0</v>
      </c>
      <c r="W185" s="1314">
        <v>0</v>
      </c>
      <c r="X185" s="1311">
        <v>0</v>
      </c>
      <c r="Y185" s="1540">
        <f t="shared" si="81"/>
        <v>3.7999999999999999E-2</v>
      </c>
      <c r="Z185" s="1538">
        <f>X185+V185+T185+R185</f>
        <v>19733200</v>
      </c>
      <c r="AA185" s="1539">
        <f t="shared" si="79"/>
        <v>0.37133333333333329</v>
      </c>
      <c r="AB185" s="1538">
        <f t="shared" si="79"/>
        <v>470495638</v>
      </c>
      <c r="AC185" s="1591">
        <f t="shared" si="82"/>
        <v>0.37133333333333329</v>
      </c>
      <c r="AD185" s="1574">
        <f t="shared" si="83"/>
        <v>0.12003802421448354</v>
      </c>
      <c r="AE185" s="1314"/>
    </row>
    <row r="186" spans="1:31" s="1298" customFormat="1" ht="38.25">
      <c r="A186" s="1314"/>
      <c r="B186" s="1314"/>
      <c r="C186" s="1314">
        <v>1</v>
      </c>
      <c r="D186" s="1534" t="s">
        <v>66</v>
      </c>
      <c r="E186" s="1534" t="s">
        <v>65</v>
      </c>
      <c r="F186" s="1534" t="s">
        <v>360</v>
      </c>
      <c r="G186" s="1534" t="s">
        <v>93</v>
      </c>
      <c r="H186" s="1534"/>
      <c r="I186" s="1568" t="s">
        <v>2360</v>
      </c>
      <c r="J186" s="786" t="s">
        <v>2361</v>
      </c>
      <c r="K186" s="1521">
        <v>1</v>
      </c>
      <c r="L186" s="1569">
        <v>485000000</v>
      </c>
      <c r="M186" s="1570">
        <f t="shared" si="69"/>
        <v>0.33333333333333331</v>
      </c>
      <c r="N186" s="1569">
        <v>55314008</v>
      </c>
      <c r="O186" s="1605">
        <f t="shared" si="84"/>
        <v>0.16666666666666666</v>
      </c>
      <c r="P186" s="1569">
        <v>40091304</v>
      </c>
      <c r="Q186" s="1536">
        <v>4.5400000000000003E-2</v>
      </c>
      <c r="R186" s="1311">
        <v>1819200</v>
      </c>
      <c r="S186" s="1314">
        <v>0</v>
      </c>
      <c r="T186" s="1311">
        <v>0</v>
      </c>
      <c r="U186" s="1314">
        <v>0</v>
      </c>
      <c r="V186" s="1311">
        <v>0</v>
      </c>
      <c r="W186" s="1314">
        <v>0</v>
      </c>
      <c r="X186" s="1311">
        <v>0</v>
      </c>
      <c r="Y186" s="1540">
        <f t="shared" si="81"/>
        <v>4.5400000000000003E-2</v>
      </c>
      <c r="Z186" s="1538">
        <f t="shared" si="81"/>
        <v>1819200</v>
      </c>
      <c r="AA186" s="1539">
        <f t="shared" si="79"/>
        <v>0.37873333333333331</v>
      </c>
      <c r="AB186" s="1538">
        <f t="shared" si="79"/>
        <v>57133208</v>
      </c>
      <c r="AC186" s="1591">
        <f t="shared" si="82"/>
        <v>0.37873333333333331</v>
      </c>
      <c r="AD186" s="1574">
        <f t="shared" si="83"/>
        <v>0.11780042886597938</v>
      </c>
      <c r="AE186" s="1314"/>
    </row>
    <row r="187" spans="1:31" s="1298" customFormat="1" ht="76.5">
      <c r="A187" s="1314"/>
      <c r="B187" s="1314"/>
      <c r="C187" s="1314">
        <v>1</v>
      </c>
      <c r="D187" s="1534" t="s">
        <v>66</v>
      </c>
      <c r="E187" s="1534" t="s">
        <v>65</v>
      </c>
      <c r="F187" s="1534" t="s">
        <v>360</v>
      </c>
      <c r="G187" s="1534" t="s">
        <v>201</v>
      </c>
      <c r="H187" s="1534"/>
      <c r="I187" s="1568" t="s">
        <v>2362</v>
      </c>
      <c r="J187" s="786" t="s">
        <v>2363</v>
      </c>
      <c r="K187" s="1521">
        <v>0.95</v>
      </c>
      <c r="L187" s="1569">
        <v>757321500</v>
      </c>
      <c r="M187" s="1570">
        <f t="shared" si="69"/>
        <v>0.31666666666666665</v>
      </c>
      <c r="N187" s="1569">
        <v>65831950</v>
      </c>
      <c r="O187" s="1605">
        <f t="shared" si="84"/>
        <v>0.15833333333333333</v>
      </c>
      <c r="P187" s="1569">
        <v>71402500</v>
      </c>
      <c r="Q187" s="1536">
        <v>5.0999999999999997E-2</v>
      </c>
      <c r="R187" s="1311">
        <v>3643100</v>
      </c>
      <c r="S187" s="1314">
        <v>0</v>
      </c>
      <c r="T187" s="1311">
        <v>0</v>
      </c>
      <c r="U187" s="1314">
        <v>0</v>
      </c>
      <c r="V187" s="1311">
        <v>0</v>
      </c>
      <c r="W187" s="1314">
        <v>0</v>
      </c>
      <c r="X187" s="1311">
        <v>0</v>
      </c>
      <c r="Y187" s="1540">
        <f t="shared" si="81"/>
        <v>5.0999999999999997E-2</v>
      </c>
      <c r="Z187" s="1538">
        <f t="shared" si="81"/>
        <v>3643100</v>
      </c>
      <c r="AA187" s="1539">
        <f t="shared" si="79"/>
        <v>0.36766666666666664</v>
      </c>
      <c r="AB187" s="1538">
        <f t="shared" si="79"/>
        <v>69475050</v>
      </c>
      <c r="AC187" s="1591">
        <f t="shared" si="82"/>
        <v>0.38701754385964909</v>
      </c>
      <c r="AD187" s="1574">
        <f t="shared" si="83"/>
        <v>9.1737855058914866E-2</v>
      </c>
      <c r="AE187" s="1314"/>
    </row>
    <row r="188" spans="1:31" s="1298" customFormat="1" ht="51">
      <c r="A188" s="1314"/>
      <c r="B188" s="1314"/>
      <c r="C188" s="1314">
        <v>1</v>
      </c>
      <c r="D188" s="1534" t="s">
        <v>66</v>
      </c>
      <c r="E188" s="1534" t="s">
        <v>65</v>
      </c>
      <c r="F188" s="1534" t="s">
        <v>360</v>
      </c>
      <c r="G188" s="1534" t="s">
        <v>202</v>
      </c>
      <c r="H188" s="1534"/>
      <c r="I188" s="1568" t="s">
        <v>2364</v>
      </c>
      <c r="J188" s="786" t="s">
        <v>2365</v>
      </c>
      <c r="K188" s="1521">
        <v>1</v>
      </c>
      <c r="L188" s="1569">
        <v>595000000</v>
      </c>
      <c r="M188" s="1570">
        <f t="shared" si="69"/>
        <v>0.33333333333333331</v>
      </c>
      <c r="N188" s="1569">
        <v>41456000</v>
      </c>
      <c r="O188" s="1605">
        <f t="shared" si="84"/>
        <v>0.16666666666666666</v>
      </c>
      <c r="P188" s="1569">
        <v>32178203</v>
      </c>
      <c r="Q188" s="1536">
        <v>0.1024</v>
      </c>
      <c r="R188" s="1311">
        <v>3294000</v>
      </c>
      <c r="S188" s="1314">
        <v>0</v>
      </c>
      <c r="T188" s="1311">
        <v>0</v>
      </c>
      <c r="U188" s="1314">
        <v>0</v>
      </c>
      <c r="V188" s="1311">
        <v>0</v>
      </c>
      <c r="W188" s="1314">
        <v>0</v>
      </c>
      <c r="X188" s="1311">
        <v>0</v>
      </c>
      <c r="Y188" s="1540">
        <f t="shared" si="81"/>
        <v>0.1024</v>
      </c>
      <c r="Z188" s="1538">
        <f t="shared" si="81"/>
        <v>3294000</v>
      </c>
      <c r="AA188" s="1539">
        <f t="shared" si="79"/>
        <v>0.43573333333333331</v>
      </c>
      <c r="AB188" s="1538">
        <f t="shared" si="79"/>
        <v>44750000</v>
      </c>
      <c r="AC188" s="1591">
        <f t="shared" si="82"/>
        <v>0.43573333333333331</v>
      </c>
      <c r="AD188" s="1574">
        <f t="shared" si="83"/>
        <v>7.5210084033613442E-2</v>
      </c>
      <c r="AE188" s="1314"/>
    </row>
    <row r="189" spans="1:31" s="1298" customFormat="1" ht="39" thickBot="1">
      <c r="A189" s="1314"/>
      <c r="B189" s="1314"/>
      <c r="C189" s="1314">
        <v>1</v>
      </c>
      <c r="D189" s="1534" t="s">
        <v>66</v>
      </c>
      <c r="E189" s="1534" t="s">
        <v>65</v>
      </c>
      <c r="F189" s="1534" t="s">
        <v>360</v>
      </c>
      <c r="G189" s="1534" t="s">
        <v>417</v>
      </c>
      <c r="H189" s="1534"/>
      <c r="I189" s="1568" t="s">
        <v>2366</v>
      </c>
      <c r="J189" s="786" t="s">
        <v>2367</v>
      </c>
      <c r="K189" s="1521">
        <v>1</v>
      </c>
      <c r="L189" s="1592">
        <v>6027035200</v>
      </c>
      <c r="M189" s="1570">
        <f t="shared" si="69"/>
        <v>0.33333333333333331</v>
      </c>
      <c r="N189" s="1569">
        <v>885873884</v>
      </c>
      <c r="O189" s="1605">
        <f t="shared" si="84"/>
        <v>0.16666666666666666</v>
      </c>
      <c r="P189" s="1569">
        <v>1624000000</v>
      </c>
      <c r="Q189" s="1536">
        <v>3.6999999999999998E-2</v>
      </c>
      <c r="R189" s="1311">
        <v>60120616</v>
      </c>
      <c r="S189" s="1314">
        <v>0</v>
      </c>
      <c r="T189" s="1311">
        <v>0</v>
      </c>
      <c r="U189" s="1314">
        <v>0</v>
      </c>
      <c r="V189" s="1311">
        <v>0</v>
      </c>
      <c r="W189" s="1314">
        <v>0</v>
      </c>
      <c r="X189" s="1311">
        <v>0</v>
      </c>
      <c r="Y189" s="1540">
        <f t="shared" si="81"/>
        <v>3.6999999999999998E-2</v>
      </c>
      <c r="Z189" s="1538">
        <f t="shared" si="81"/>
        <v>60120616</v>
      </c>
      <c r="AA189" s="1539">
        <f t="shared" si="79"/>
        <v>0.37033333333333329</v>
      </c>
      <c r="AB189" s="1538">
        <f t="shared" si="79"/>
        <v>945994500</v>
      </c>
      <c r="AC189" s="1591">
        <f t="shared" si="82"/>
        <v>0.37033333333333329</v>
      </c>
      <c r="AD189" s="1574">
        <f t="shared" si="83"/>
        <v>0.15695851585535786</v>
      </c>
      <c r="AE189" s="1314"/>
    </row>
    <row r="190" spans="1:31" s="1297" customFormat="1" ht="76.5" customHeight="1" thickBot="1">
      <c r="A190" s="1300"/>
      <c r="B190" s="1314" t="s">
        <v>2268</v>
      </c>
      <c r="C190" s="1300">
        <v>1</v>
      </c>
      <c r="D190" s="1299" t="s">
        <v>66</v>
      </c>
      <c r="E190" s="1299" t="s">
        <v>65</v>
      </c>
      <c r="F190" s="1299" t="s">
        <v>515</v>
      </c>
      <c r="G190" s="1300"/>
      <c r="H190" s="1300"/>
      <c r="I190" s="1554" t="s">
        <v>2368</v>
      </c>
      <c r="J190" s="1555" t="s">
        <v>2369</v>
      </c>
      <c r="K190" s="1630">
        <v>1</v>
      </c>
      <c r="L190" s="1598">
        <v>107046500000</v>
      </c>
      <c r="M190" s="1617">
        <f t="shared" si="69"/>
        <v>0.33333333333333331</v>
      </c>
      <c r="N190" s="1583">
        <v>10009119676</v>
      </c>
      <c r="O190" s="1603">
        <f t="shared" si="84"/>
        <v>0.16666666666666666</v>
      </c>
      <c r="P190" s="1583">
        <v>2380837644</v>
      </c>
      <c r="Q190" s="1588">
        <f>SUM(Q191:Q194)/4</f>
        <v>1.2750000000000001E-2</v>
      </c>
      <c r="R190" s="1587">
        <f>SUM(R191:R197)</f>
        <v>25362900</v>
      </c>
      <c r="S190" s="1586">
        <v>0</v>
      </c>
      <c r="T190" s="1587">
        <f>SUM(T191:T197)</f>
        <v>0</v>
      </c>
      <c r="U190" s="1586">
        <v>0</v>
      </c>
      <c r="V190" s="1587">
        <f>SUM(V191:V197)</f>
        <v>0</v>
      </c>
      <c r="W190" s="1586">
        <v>0</v>
      </c>
      <c r="X190" s="1587">
        <f>SUM(X191:X197)</f>
        <v>0</v>
      </c>
      <c r="Y190" s="1588">
        <f>W190+U190+S190+Q190</f>
        <v>1.2750000000000001E-2</v>
      </c>
      <c r="Z190" s="1585">
        <f>SUM(Z191:Z197)</f>
        <v>25362900</v>
      </c>
      <c r="AA190" s="1600">
        <f t="shared" si="79"/>
        <v>0.3460833333333333</v>
      </c>
      <c r="AB190" s="1585">
        <f t="shared" si="79"/>
        <v>10034482576</v>
      </c>
      <c r="AC190" s="1565">
        <f t="shared" si="82"/>
        <v>0.3460833333333333</v>
      </c>
      <c r="AD190" s="1560">
        <f t="shared" si="83"/>
        <v>9.3739473742719279E-2</v>
      </c>
      <c r="AE190" s="1612" t="s">
        <v>2272</v>
      </c>
    </row>
    <row r="191" spans="1:31" s="1298" customFormat="1" ht="39" customHeight="1">
      <c r="A191" s="1314"/>
      <c r="B191" s="1314"/>
      <c r="C191" s="1314">
        <v>1</v>
      </c>
      <c r="D191" s="1534" t="s">
        <v>66</v>
      </c>
      <c r="E191" s="1534" t="s">
        <v>65</v>
      </c>
      <c r="F191" s="1534" t="s">
        <v>515</v>
      </c>
      <c r="G191" s="1534" t="s">
        <v>95</v>
      </c>
      <c r="H191" s="1534"/>
      <c r="I191" s="1568" t="s">
        <v>2370</v>
      </c>
      <c r="J191" s="786" t="s">
        <v>2371</v>
      </c>
      <c r="K191" s="1521">
        <v>1</v>
      </c>
      <c r="L191" s="1569">
        <v>4000000000</v>
      </c>
      <c r="M191" s="1570">
        <f t="shared" si="69"/>
        <v>0.33333333333333331</v>
      </c>
      <c r="N191" s="1569">
        <v>806600750</v>
      </c>
      <c r="O191" s="1605">
        <f t="shared" si="84"/>
        <v>0.16666666666666666</v>
      </c>
      <c r="P191" s="1569">
        <v>0</v>
      </c>
      <c r="Q191" s="1540">
        <v>1.2999999999999999E-2</v>
      </c>
      <c r="R191" s="1314">
        <v>0</v>
      </c>
      <c r="S191" s="1314">
        <v>0</v>
      </c>
      <c r="T191" s="1311">
        <v>0</v>
      </c>
      <c r="U191" s="1314">
        <v>0</v>
      </c>
      <c r="V191" s="1314"/>
      <c r="W191" s="1314">
        <v>0</v>
      </c>
      <c r="X191" s="1311">
        <v>0</v>
      </c>
      <c r="Y191" s="1540">
        <f>W191+U191+S191+Q191</f>
        <v>1.2999999999999999E-2</v>
      </c>
      <c r="Z191" s="1538">
        <f>X191+V191+T191+R191</f>
        <v>0</v>
      </c>
      <c r="AA191" s="1539">
        <f t="shared" si="79"/>
        <v>0.34633333333333333</v>
      </c>
      <c r="AB191" s="1538">
        <f t="shared" si="79"/>
        <v>806600750</v>
      </c>
      <c r="AC191" s="1591">
        <f t="shared" si="82"/>
        <v>0.34633333333333333</v>
      </c>
      <c r="AD191" s="1574">
        <f t="shared" si="83"/>
        <v>0.20165018749999999</v>
      </c>
      <c r="AE191" s="1314"/>
    </row>
    <row r="192" spans="1:31" s="1298" customFormat="1" ht="41.25" customHeight="1">
      <c r="A192" s="1314"/>
      <c r="B192" s="1314"/>
      <c r="C192" s="1314">
        <v>1</v>
      </c>
      <c r="D192" s="1534" t="s">
        <v>66</v>
      </c>
      <c r="E192" s="1534" t="s">
        <v>65</v>
      </c>
      <c r="F192" s="1534" t="s">
        <v>515</v>
      </c>
      <c r="G192" s="1534" t="s">
        <v>197</v>
      </c>
      <c r="H192" s="1534"/>
      <c r="I192" s="1568" t="s">
        <v>2372</v>
      </c>
      <c r="J192" s="786" t="s">
        <v>2373</v>
      </c>
      <c r="K192" s="1521">
        <v>1</v>
      </c>
      <c r="L192" s="1569">
        <v>30346500000</v>
      </c>
      <c r="M192" s="1570">
        <f t="shared" si="69"/>
        <v>0.33333333333333331</v>
      </c>
      <c r="N192" s="1569">
        <v>1230110000</v>
      </c>
      <c r="O192" s="1605">
        <f t="shared" si="84"/>
        <v>0.16666666666666666</v>
      </c>
      <c r="P192" s="1569">
        <v>6810266000</v>
      </c>
      <c r="Q192" s="1536">
        <v>1.2E-2</v>
      </c>
      <c r="R192" s="1314">
        <v>0</v>
      </c>
      <c r="S192" s="1314">
        <v>0</v>
      </c>
      <c r="T192" s="1311">
        <v>0</v>
      </c>
      <c r="U192" s="1314">
        <v>0</v>
      </c>
      <c r="V192" s="1311">
        <v>0</v>
      </c>
      <c r="W192" s="1314">
        <v>0</v>
      </c>
      <c r="X192" s="1311">
        <v>0</v>
      </c>
      <c r="Y192" s="1540">
        <f t="shared" ref="Y192:Z197" si="85">W192+U192+S192+Q192</f>
        <v>1.2E-2</v>
      </c>
      <c r="Z192" s="1538">
        <f t="shared" si="85"/>
        <v>0</v>
      </c>
      <c r="AA192" s="1539">
        <f t="shared" si="79"/>
        <v>0.34533333333333333</v>
      </c>
      <c r="AB192" s="1538">
        <f t="shared" si="79"/>
        <v>1230110000</v>
      </c>
      <c r="AC192" s="1591">
        <f t="shared" si="82"/>
        <v>0.34533333333333333</v>
      </c>
      <c r="AD192" s="1574">
        <f t="shared" si="83"/>
        <v>4.0535481851284333E-2</v>
      </c>
      <c r="AE192" s="1314"/>
    </row>
    <row r="193" spans="1:31" s="1298" customFormat="1" ht="67.5" customHeight="1">
      <c r="A193" s="1314"/>
      <c r="B193" s="1314"/>
      <c r="C193" s="1314">
        <v>1</v>
      </c>
      <c r="D193" s="1534" t="s">
        <v>66</v>
      </c>
      <c r="E193" s="1534" t="s">
        <v>65</v>
      </c>
      <c r="F193" s="1534" t="s">
        <v>515</v>
      </c>
      <c r="G193" s="1534" t="s">
        <v>391</v>
      </c>
      <c r="H193" s="1534"/>
      <c r="I193" s="1568" t="s">
        <v>2374</v>
      </c>
      <c r="J193" s="786" t="s">
        <v>2375</v>
      </c>
      <c r="K193" s="1521">
        <v>1</v>
      </c>
      <c r="L193" s="1569">
        <v>34000000000</v>
      </c>
      <c r="M193" s="1570">
        <f t="shared" si="69"/>
        <v>0.33333333333333331</v>
      </c>
      <c r="N193" s="1569">
        <v>4517922476</v>
      </c>
      <c r="O193" s="1605">
        <f t="shared" si="84"/>
        <v>0.16666666666666666</v>
      </c>
      <c r="P193" s="1569">
        <v>1583042185</v>
      </c>
      <c r="Q193" s="1540">
        <v>3.0000000000000001E-3</v>
      </c>
      <c r="R193" s="1311">
        <v>4960000</v>
      </c>
      <c r="S193" s="1314">
        <v>0</v>
      </c>
      <c r="T193" s="1311">
        <v>0</v>
      </c>
      <c r="U193" s="1314">
        <v>0</v>
      </c>
      <c r="V193" s="1311">
        <v>0</v>
      </c>
      <c r="W193" s="1314">
        <v>0</v>
      </c>
      <c r="X193" s="1311">
        <v>0</v>
      </c>
      <c r="Y193" s="1540">
        <f t="shared" si="85"/>
        <v>3.0000000000000001E-3</v>
      </c>
      <c r="Z193" s="1538">
        <f t="shared" si="85"/>
        <v>4960000</v>
      </c>
      <c r="AA193" s="1539">
        <f t="shared" si="79"/>
        <v>0.33633333333333332</v>
      </c>
      <c r="AB193" s="1538">
        <f t="shared" si="79"/>
        <v>4522882476</v>
      </c>
      <c r="AC193" s="1591">
        <f t="shared" si="82"/>
        <v>0.33633333333333332</v>
      </c>
      <c r="AD193" s="1574">
        <f t="shared" si="83"/>
        <v>0.13302595517647059</v>
      </c>
      <c r="AE193" s="1314"/>
    </row>
    <row r="194" spans="1:31" s="1298" customFormat="1" ht="49.5" customHeight="1">
      <c r="A194" s="1314"/>
      <c r="B194" s="1314"/>
      <c r="C194" s="1314">
        <v>1</v>
      </c>
      <c r="D194" s="1534" t="s">
        <v>66</v>
      </c>
      <c r="E194" s="1534" t="s">
        <v>65</v>
      </c>
      <c r="F194" s="1534" t="s">
        <v>515</v>
      </c>
      <c r="G194" s="1534" t="s">
        <v>459</v>
      </c>
      <c r="H194" s="1534"/>
      <c r="I194" s="1568" t="s">
        <v>2376</v>
      </c>
      <c r="J194" s="786" t="s">
        <v>2373</v>
      </c>
      <c r="K194" s="1521">
        <v>1</v>
      </c>
      <c r="L194" s="1569">
        <v>4150000000</v>
      </c>
      <c r="M194" s="1570">
        <f t="shared" si="69"/>
        <v>0.33333333333333331</v>
      </c>
      <c r="N194" s="1569">
        <v>461938750</v>
      </c>
      <c r="O194" s="1605">
        <f t="shared" si="84"/>
        <v>0.16666666666666666</v>
      </c>
      <c r="P194" s="1569">
        <v>287956502</v>
      </c>
      <c r="Q194" s="1540">
        <v>2.3E-2</v>
      </c>
      <c r="R194" s="1311">
        <v>20402900</v>
      </c>
      <c r="S194" s="1314">
        <v>0</v>
      </c>
      <c r="T194" s="1311">
        <v>0</v>
      </c>
      <c r="U194" s="1314">
        <v>0</v>
      </c>
      <c r="V194" s="1311">
        <v>0</v>
      </c>
      <c r="W194" s="1314">
        <v>0</v>
      </c>
      <c r="X194" s="1311">
        <v>0</v>
      </c>
      <c r="Y194" s="1540">
        <f t="shared" si="85"/>
        <v>2.3E-2</v>
      </c>
      <c r="Z194" s="1538">
        <f t="shared" si="85"/>
        <v>20402900</v>
      </c>
      <c r="AA194" s="1539">
        <f t="shared" si="79"/>
        <v>0.35633333333333334</v>
      </c>
      <c r="AB194" s="1538">
        <f t="shared" si="79"/>
        <v>482341650</v>
      </c>
      <c r="AC194" s="1591">
        <f t="shared" si="82"/>
        <v>0.35633333333333334</v>
      </c>
      <c r="AD194" s="1574">
        <f t="shared" si="83"/>
        <v>0.11622690361445784</v>
      </c>
      <c r="AE194" s="1314"/>
    </row>
    <row r="195" spans="1:31" s="1298" customFormat="1" ht="93" customHeight="1">
      <c r="A195" s="1314"/>
      <c r="B195" s="1314"/>
      <c r="C195" s="1314">
        <v>1</v>
      </c>
      <c r="D195" s="1534" t="s">
        <v>66</v>
      </c>
      <c r="E195" s="1534" t="s">
        <v>65</v>
      </c>
      <c r="F195" s="1534" t="s">
        <v>515</v>
      </c>
      <c r="G195" s="1534" t="s">
        <v>363</v>
      </c>
      <c r="H195" s="1534"/>
      <c r="I195" s="1568" t="s">
        <v>2377</v>
      </c>
      <c r="J195" s="786" t="s">
        <v>2378</v>
      </c>
      <c r="K195" s="1521">
        <v>1</v>
      </c>
      <c r="L195" s="1569">
        <v>9850000000</v>
      </c>
      <c r="M195" s="1570">
        <f t="shared" si="69"/>
        <v>0.33333333333333331</v>
      </c>
      <c r="N195" s="1569">
        <v>1251868700</v>
      </c>
      <c r="O195" s="1605">
        <f t="shared" si="84"/>
        <v>0.16666666666666666</v>
      </c>
      <c r="P195" s="1569">
        <v>2728247343</v>
      </c>
      <c r="Q195" s="1536">
        <v>1.4999999999999999E-2</v>
      </c>
      <c r="R195" s="1311">
        <v>0</v>
      </c>
      <c r="S195" s="1314">
        <v>0</v>
      </c>
      <c r="T195" s="1311">
        <v>0</v>
      </c>
      <c r="U195" s="1314">
        <v>0</v>
      </c>
      <c r="V195" s="1311">
        <v>0</v>
      </c>
      <c r="W195" s="1314">
        <v>0</v>
      </c>
      <c r="X195" s="1311">
        <v>0</v>
      </c>
      <c r="Y195" s="1540">
        <f t="shared" si="85"/>
        <v>1.4999999999999999E-2</v>
      </c>
      <c r="Z195" s="1538">
        <f t="shared" si="85"/>
        <v>0</v>
      </c>
      <c r="AA195" s="1539">
        <f t="shared" si="79"/>
        <v>0.34833333333333333</v>
      </c>
      <c r="AB195" s="1538">
        <f t="shared" si="79"/>
        <v>1251868700</v>
      </c>
      <c r="AC195" s="1591">
        <f t="shared" si="82"/>
        <v>0.34833333333333333</v>
      </c>
      <c r="AD195" s="1574">
        <f t="shared" si="83"/>
        <v>0.127093269035533</v>
      </c>
      <c r="AE195" s="1314"/>
    </row>
    <row r="196" spans="1:31" s="1298" customFormat="1" ht="54" customHeight="1">
      <c r="A196" s="1314"/>
      <c r="B196" s="1314"/>
      <c r="C196" s="1314">
        <v>1</v>
      </c>
      <c r="D196" s="1534" t="s">
        <v>66</v>
      </c>
      <c r="E196" s="1534" t="s">
        <v>65</v>
      </c>
      <c r="F196" s="1534" t="s">
        <v>515</v>
      </c>
      <c r="G196" s="1534" t="s">
        <v>373</v>
      </c>
      <c r="H196" s="1534"/>
      <c r="I196" s="1568" t="s">
        <v>2379</v>
      </c>
      <c r="J196" s="786" t="s">
        <v>2380</v>
      </c>
      <c r="K196" s="1521">
        <v>1</v>
      </c>
      <c r="L196" s="1569">
        <v>7400000000</v>
      </c>
      <c r="M196" s="1570">
        <f t="shared" si="69"/>
        <v>0.33333333333333331</v>
      </c>
      <c r="N196" s="1569">
        <v>679375000</v>
      </c>
      <c r="O196" s="1605">
        <f t="shared" si="84"/>
        <v>0.16666666666666666</v>
      </c>
      <c r="P196" s="1569">
        <v>833000000</v>
      </c>
      <c r="Q196" s="1536">
        <v>1.4999999999999999E-2</v>
      </c>
      <c r="R196" s="1314">
        <v>0</v>
      </c>
      <c r="S196" s="1314">
        <v>0</v>
      </c>
      <c r="T196" s="1311">
        <v>0</v>
      </c>
      <c r="U196" s="1314">
        <v>0</v>
      </c>
      <c r="V196" s="1314">
        <v>0</v>
      </c>
      <c r="W196" s="1314">
        <v>0</v>
      </c>
      <c r="X196" s="1311">
        <v>0</v>
      </c>
      <c r="Y196" s="1540">
        <f t="shared" si="85"/>
        <v>1.4999999999999999E-2</v>
      </c>
      <c r="Z196" s="1538">
        <f t="shared" si="85"/>
        <v>0</v>
      </c>
      <c r="AA196" s="1539">
        <f t="shared" si="79"/>
        <v>0.34833333333333333</v>
      </c>
      <c r="AB196" s="1538">
        <f t="shared" si="79"/>
        <v>679375000</v>
      </c>
      <c r="AC196" s="1591">
        <f t="shared" si="82"/>
        <v>0.34833333333333333</v>
      </c>
      <c r="AD196" s="1574">
        <f t="shared" si="83"/>
        <v>9.1807432432432431E-2</v>
      </c>
      <c r="AE196" s="1314"/>
    </row>
    <row r="197" spans="1:31" s="1298" customFormat="1" ht="51">
      <c r="A197" s="1314"/>
      <c r="B197" s="1314"/>
      <c r="C197" s="1314">
        <v>1</v>
      </c>
      <c r="D197" s="1534" t="s">
        <v>66</v>
      </c>
      <c r="E197" s="1534" t="s">
        <v>65</v>
      </c>
      <c r="F197" s="1534" t="s">
        <v>515</v>
      </c>
      <c r="G197" s="1534" t="s">
        <v>2381</v>
      </c>
      <c r="H197" s="1534"/>
      <c r="I197" s="1568" t="s">
        <v>2382</v>
      </c>
      <c r="J197" s="786" t="s">
        <v>2380</v>
      </c>
      <c r="K197" s="1521">
        <v>1</v>
      </c>
      <c r="L197" s="1569">
        <v>13800000000</v>
      </c>
      <c r="M197" s="1570">
        <f t="shared" si="69"/>
        <v>0.33333333333333331</v>
      </c>
      <c r="N197" s="1569">
        <v>1061304000</v>
      </c>
      <c r="O197" s="786"/>
      <c r="P197" s="1569">
        <v>0</v>
      </c>
      <c r="Q197" s="1314">
        <v>0</v>
      </c>
      <c r="R197" s="1314">
        <v>0</v>
      </c>
      <c r="S197" s="1314">
        <v>0</v>
      </c>
      <c r="T197" s="1311">
        <v>0</v>
      </c>
      <c r="U197" s="1314">
        <v>0</v>
      </c>
      <c r="V197" s="1314">
        <v>0</v>
      </c>
      <c r="W197" s="1314">
        <v>0</v>
      </c>
      <c r="X197" s="1311">
        <v>0</v>
      </c>
      <c r="Y197" s="1540">
        <f t="shared" si="85"/>
        <v>0</v>
      </c>
      <c r="Z197" s="1538">
        <f t="shared" si="85"/>
        <v>0</v>
      </c>
      <c r="AA197" s="1539">
        <f t="shared" si="79"/>
        <v>0.33333333333333331</v>
      </c>
      <c r="AB197" s="1538">
        <f t="shared" si="79"/>
        <v>1061304000</v>
      </c>
      <c r="AC197" s="1591">
        <f t="shared" si="82"/>
        <v>0.33333333333333331</v>
      </c>
      <c r="AD197" s="1574">
        <f t="shared" si="83"/>
        <v>7.6906086956521735E-2</v>
      </c>
      <c r="AE197" s="1314"/>
    </row>
    <row r="198" spans="1:31" s="1513" customFormat="1" ht="54" customHeight="1">
      <c r="A198" s="1300"/>
      <c r="B198" s="1300" t="s">
        <v>2268</v>
      </c>
      <c r="C198" s="1300">
        <v>1</v>
      </c>
      <c r="D198" s="1299" t="s">
        <v>66</v>
      </c>
      <c r="E198" s="1299" t="s">
        <v>65</v>
      </c>
      <c r="F198" s="1299" t="s">
        <v>178</v>
      </c>
      <c r="G198" s="1300"/>
      <c r="H198" s="1300"/>
      <c r="I198" s="1554" t="s">
        <v>2383</v>
      </c>
      <c r="J198" s="1631" t="s">
        <v>2384</v>
      </c>
      <c r="K198" s="1632">
        <v>1</v>
      </c>
      <c r="L198" s="1633">
        <v>180684091900</v>
      </c>
      <c r="M198" s="1634">
        <f t="shared" si="69"/>
        <v>0.33333333333333331</v>
      </c>
      <c r="N198" s="1635">
        <f>SUM(N199:N202)</f>
        <v>27794258803</v>
      </c>
      <c r="O198" s="1636">
        <v>0.16600000000000001</v>
      </c>
      <c r="P198" s="1637">
        <v>2152422484</v>
      </c>
      <c r="Q198" s="1532">
        <f>SUM(Q199:Q202)/4</f>
        <v>2.0900000000000002E-2</v>
      </c>
      <c r="R198" s="1530">
        <f>SUM(R199:R202)</f>
        <v>31308800</v>
      </c>
      <c r="S198" s="1300">
        <v>0</v>
      </c>
      <c r="T198" s="1527">
        <f>SUM(T199:T202)</f>
        <v>0</v>
      </c>
      <c r="U198" s="1531">
        <v>0</v>
      </c>
      <c r="V198" s="1527">
        <v>0</v>
      </c>
      <c r="W198" s="1300">
        <v>0</v>
      </c>
      <c r="X198" s="1527">
        <v>0</v>
      </c>
      <c r="Y198" s="1532">
        <f>W198+U198+S198+Q198</f>
        <v>2.0900000000000002E-2</v>
      </c>
      <c r="Z198" s="1530">
        <f>SUM(Z199:Z202)</f>
        <v>31308800</v>
      </c>
      <c r="AA198" s="1546">
        <f t="shared" si="79"/>
        <v>0.35423333333333329</v>
      </c>
      <c r="AB198" s="1530">
        <f t="shared" si="79"/>
        <v>27825567603</v>
      </c>
      <c r="AC198" s="1628">
        <f t="shared" si="82"/>
        <v>0.35423333333333329</v>
      </c>
      <c r="AD198" s="1629">
        <f t="shared" si="83"/>
        <v>0.15400120348392443</v>
      </c>
      <c r="AE198" s="1533" t="s">
        <v>2272</v>
      </c>
    </row>
    <row r="199" spans="1:31" s="1298" customFormat="1" ht="51">
      <c r="A199" s="1314"/>
      <c r="B199" s="1314"/>
      <c r="C199" s="1314">
        <v>1</v>
      </c>
      <c r="D199" s="1534" t="s">
        <v>66</v>
      </c>
      <c r="E199" s="1534" t="s">
        <v>65</v>
      </c>
      <c r="F199" s="1534" t="s">
        <v>178</v>
      </c>
      <c r="G199" s="1534" t="s">
        <v>66</v>
      </c>
      <c r="H199" s="1534"/>
      <c r="I199" s="1568" t="s">
        <v>2385</v>
      </c>
      <c r="J199" s="1619" t="s">
        <v>2386</v>
      </c>
      <c r="K199" s="1521">
        <v>1</v>
      </c>
      <c r="L199" s="1569">
        <v>38975000000</v>
      </c>
      <c r="M199" s="1570">
        <f t="shared" si="69"/>
        <v>0.33333333333333331</v>
      </c>
      <c r="N199" s="1569">
        <v>5976329650</v>
      </c>
      <c r="O199" s="1638">
        <v>0.16600000000000001</v>
      </c>
      <c r="P199" s="1569">
        <v>6239263375</v>
      </c>
      <c r="Q199" s="1540">
        <v>2.3E-2</v>
      </c>
      <c r="R199" s="1311">
        <v>9022000</v>
      </c>
      <c r="S199" s="1314">
        <v>0</v>
      </c>
      <c r="T199" s="1311">
        <v>0</v>
      </c>
      <c r="U199" s="1314">
        <v>0</v>
      </c>
      <c r="V199" s="1311">
        <v>0</v>
      </c>
      <c r="W199" s="1314">
        <v>0</v>
      </c>
      <c r="X199" s="1311">
        <v>0</v>
      </c>
      <c r="Y199" s="1540">
        <f>W199+U199+S199+Q199</f>
        <v>2.3E-2</v>
      </c>
      <c r="Z199" s="1538">
        <f>X199+V199+T199+R199</f>
        <v>9022000</v>
      </c>
      <c r="AA199" s="1539">
        <f t="shared" si="79"/>
        <v>0.35633333333333334</v>
      </c>
      <c r="AB199" s="1538">
        <f t="shared" si="79"/>
        <v>5985351650</v>
      </c>
      <c r="AC199" s="1591">
        <f t="shared" si="82"/>
        <v>0.35633333333333334</v>
      </c>
      <c r="AD199" s="1574">
        <f t="shared" si="83"/>
        <v>0.15356899679281591</v>
      </c>
      <c r="AE199" s="1314"/>
    </row>
    <row r="200" spans="1:31" s="1298" customFormat="1" ht="51">
      <c r="A200" s="1314"/>
      <c r="B200" s="1314"/>
      <c r="C200" s="1314">
        <v>1</v>
      </c>
      <c r="D200" s="1534" t="s">
        <v>66</v>
      </c>
      <c r="E200" s="1534" t="s">
        <v>65</v>
      </c>
      <c r="F200" s="1314">
        <v>28</v>
      </c>
      <c r="G200" s="1534" t="s">
        <v>201</v>
      </c>
      <c r="H200" s="1534"/>
      <c r="I200" s="1568" t="s">
        <v>2387</v>
      </c>
      <c r="J200" s="786" t="s">
        <v>2388</v>
      </c>
      <c r="K200" s="1521">
        <v>0.9</v>
      </c>
      <c r="L200" s="1569">
        <v>4029091900</v>
      </c>
      <c r="M200" s="1570">
        <f t="shared" si="69"/>
        <v>0.3</v>
      </c>
      <c r="N200" s="1569">
        <v>542088528</v>
      </c>
      <c r="O200" s="1570">
        <f>K200/6</f>
        <v>0.15</v>
      </c>
      <c r="P200" s="1569">
        <v>1029807668</v>
      </c>
      <c r="Q200" s="1540">
        <v>2.1600000000000001E-2</v>
      </c>
      <c r="R200" s="1311">
        <v>22286800</v>
      </c>
      <c r="S200" s="1314">
        <v>0</v>
      </c>
      <c r="T200" s="1311">
        <v>0</v>
      </c>
      <c r="U200" s="1314">
        <v>0</v>
      </c>
      <c r="V200" s="1311">
        <v>0</v>
      </c>
      <c r="W200" s="1314">
        <v>0</v>
      </c>
      <c r="X200" s="1311">
        <v>0</v>
      </c>
      <c r="Y200" s="1540">
        <f t="shared" ref="Y200:Z202" si="86">W200+U200+S200+Q200</f>
        <v>2.1600000000000001E-2</v>
      </c>
      <c r="Z200" s="1538">
        <f t="shared" si="86"/>
        <v>22286800</v>
      </c>
      <c r="AA200" s="1539">
        <f t="shared" si="79"/>
        <v>0.3216</v>
      </c>
      <c r="AB200" s="1538">
        <f t="shared" si="79"/>
        <v>564375328</v>
      </c>
      <c r="AC200" s="1591">
        <f t="shared" si="82"/>
        <v>0.35733333333333334</v>
      </c>
      <c r="AD200" s="1574">
        <f t="shared" si="83"/>
        <v>0.14007506952124871</v>
      </c>
      <c r="AE200" s="1314"/>
    </row>
    <row r="201" spans="1:31" s="1298" customFormat="1" ht="51">
      <c r="A201" s="1314"/>
      <c r="B201" s="1314"/>
      <c r="C201" s="1314">
        <v>1</v>
      </c>
      <c r="D201" s="1534" t="s">
        <v>66</v>
      </c>
      <c r="E201" s="1534" t="s">
        <v>65</v>
      </c>
      <c r="F201" s="1314">
        <v>28</v>
      </c>
      <c r="G201" s="1534" t="s">
        <v>417</v>
      </c>
      <c r="H201" s="1534"/>
      <c r="I201" s="1568" t="s">
        <v>2389</v>
      </c>
      <c r="J201" s="786" t="s">
        <v>2388</v>
      </c>
      <c r="K201" s="1521">
        <v>1</v>
      </c>
      <c r="L201" s="1569">
        <v>123500000000</v>
      </c>
      <c r="M201" s="1570">
        <f t="shared" si="69"/>
        <v>0.33333333333333331</v>
      </c>
      <c r="N201" s="1569">
        <v>20165085838</v>
      </c>
      <c r="O201" s="1593">
        <f>K201/6</f>
        <v>0.16666666666666666</v>
      </c>
      <c r="P201" s="1569">
        <v>17500000000</v>
      </c>
      <c r="Q201" s="1540">
        <v>1.4999999999999999E-2</v>
      </c>
      <c r="R201" s="1538">
        <v>0</v>
      </c>
      <c r="S201" s="1314">
        <v>0</v>
      </c>
      <c r="T201" s="1311">
        <v>0</v>
      </c>
      <c r="U201" s="1314">
        <v>0</v>
      </c>
      <c r="V201" s="1311">
        <v>0</v>
      </c>
      <c r="W201" s="1314">
        <v>0</v>
      </c>
      <c r="X201" s="1311">
        <v>0</v>
      </c>
      <c r="Y201" s="1540">
        <f t="shared" si="86"/>
        <v>1.4999999999999999E-2</v>
      </c>
      <c r="Z201" s="1538">
        <f t="shared" si="86"/>
        <v>0</v>
      </c>
      <c r="AA201" s="1539">
        <f t="shared" si="79"/>
        <v>0.34833333333333333</v>
      </c>
      <c r="AB201" s="1538">
        <f t="shared" si="79"/>
        <v>20165085838</v>
      </c>
      <c r="AC201" s="1591">
        <f t="shared" si="82"/>
        <v>0.34833333333333333</v>
      </c>
      <c r="AD201" s="1574">
        <f t="shared" si="83"/>
        <v>0.16328004727125506</v>
      </c>
      <c r="AE201" s="1314"/>
    </row>
    <row r="202" spans="1:31" s="1298" customFormat="1" ht="51.75" thickBot="1">
      <c r="A202" s="1314"/>
      <c r="B202" s="1314"/>
      <c r="C202" s="1314">
        <v>1</v>
      </c>
      <c r="D202" s="1534" t="s">
        <v>66</v>
      </c>
      <c r="E202" s="1534" t="s">
        <v>65</v>
      </c>
      <c r="F202" s="1314">
        <v>28</v>
      </c>
      <c r="G202" s="1534" t="s">
        <v>160</v>
      </c>
      <c r="H202" s="1534"/>
      <c r="I202" s="1568" t="s">
        <v>2390</v>
      </c>
      <c r="J202" s="786" t="s">
        <v>2388</v>
      </c>
      <c r="K202" s="1521">
        <v>0.9</v>
      </c>
      <c r="L202" s="1569">
        <v>13580000000</v>
      </c>
      <c r="M202" s="1570">
        <f t="shared" si="69"/>
        <v>0.3</v>
      </c>
      <c r="N202" s="1569">
        <v>1110754787</v>
      </c>
      <c r="O202" s="1639">
        <f>K202/6</f>
        <v>0.15</v>
      </c>
      <c r="P202" s="1569">
        <v>1550000000</v>
      </c>
      <c r="Q202" s="1536">
        <v>2.4E-2</v>
      </c>
      <c r="R202" s="1538">
        <v>0</v>
      </c>
      <c r="S202" s="1314">
        <v>0</v>
      </c>
      <c r="T202" s="1311">
        <v>0</v>
      </c>
      <c r="U202" s="1314">
        <v>0</v>
      </c>
      <c r="V202" s="1311">
        <v>0</v>
      </c>
      <c r="W202" s="1314">
        <v>0</v>
      </c>
      <c r="X202" s="1311">
        <v>0</v>
      </c>
      <c r="Y202" s="1540">
        <f t="shared" si="86"/>
        <v>2.4E-2</v>
      </c>
      <c r="Z202" s="1538">
        <f t="shared" si="86"/>
        <v>0</v>
      </c>
      <c r="AA202" s="1539">
        <f t="shared" si="79"/>
        <v>0.32400000000000001</v>
      </c>
      <c r="AB202" s="1538">
        <f t="shared" si="79"/>
        <v>1110754787</v>
      </c>
      <c r="AC202" s="1591">
        <f t="shared" si="82"/>
        <v>0.36</v>
      </c>
      <c r="AD202" s="1574">
        <f t="shared" si="83"/>
        <v>8.1793430559646538E-2</v>
      </c>
      <c r="AE202" s="1314"/>
    </row>
    <row r="203" spans="1:31" s="1513" customFormat="1" ht="52.5" customHeight="1" thickBot="1">
      <c r="A203" s="1300"/>
      <c r="B203" s="1300" t="s">
        <v>2391</v>
      </c>
      <c r="C203" s="1300">
        <v>1</v>
      </c>
      <c r="D203" s="1299" t="s">
        <v>66</v>
      </c>
      <c r="E203" s="1299" t="s">
        <v>65</v>
      </c>
      <c r="F203" s="1300">
        <v>30</v>
      </c>
      <c r="G203" s="1300"/>
      <c r="H203" s="1300"/>
      <c r="I203" s="1640" t="s">
        <v>2392</v>
      </c>
      <c r="J203" s="1555" t="s">
        <v>2393</v>
      </c>
      <c r="K203" s="1632">
        <f t="shared" ref="K203:V203" si="87">K204</f>
        <v>0.8</v>
      </c>
      <c r="L203" s="1641">
        <f t="shared" si="87"/>
        <v>535000000</v>
      </c>
      <c r="M203" s="1636">
        <f t="shared" si="87"/>
        <v>0.26666666666666666</v>
      </c>
      <c r="N203" s="1642">
        <f t="shared" si="87"/>
        <v>42569250</v>
      </c>
      <c r="O203" s="1643">
        <f t="shared" si="87"/>
        <v>0.13333333333333333</v>
      </c>
      <c r="P203" s="1644">
        <f t="shared" si="87"/>
        <v>175619042</v>
      </c>
      <c r="Q203" s="1532">
        <f t="shared" si="87"/>
        <v>1.4999999999999999E-2</v>
      </c>
      <c r="R203" s="1530">
        <f t="shared" si="87"/>
        <v>800000</v>
      </c>
      <c r="S203" s="1300">
        <v>0</v>
      </c>
      <c r="T203" s="1530">
        <f t="shared" si="87"/>
        <v>0</v>
      </c>
      <c r="U203" s="1300">
        <f t="shared" si="87"/>
        <v>0</v>
      </c>
      <c r="V203" s="1530">
        <f t="shared" si="87"/>
        <v>0</v>
      </c>
      <c r="W203" s="1300">
        <v>0</v>
      </c>
      <c r="X203" s="1527">
        <f>X204</f>
        <v>0</v>
      </c>
      <c r="Y203" s="1532">
        <f>Y204</f>
        <v>1.4999999999999999E-2</v>
      </c>
      <c r="Z203" s="1530">
        <f>Z204</f>
        <v>800000</v>
      </c>
      <c r="AA203" s="1546">
        <f t="shared" si="79"/>
        <v>0.28166666666666668</v>
      </c>
      <c r="AB203" s="1530">
        <f t="shared" si="79"/>
        <v>43369250</v>
      </c>
      <c r="AC203" s="1628">
        <f t="shared" si="82"/>
        <v>0.3520833333333333</v>
      </c>
      <c r="AD203" s="1629">
        <f t="shared" si="83"/>
        <v>8.1064018691588788E-2</v>
      </c>
      <c r="AE203" s="1533" t="s">
        <v>2272</v>
      </c>
    </row>
    <row r="204" spans="1:31" s="1298" customFormat="1" ht="48" customHeight="1">
      <c r="A204" s="1314"/>
      <c r="B204" s="1314"/>
      <c r="C204" s="1314">
        <v>1</v>
      </c>
      <c r="D204" s="1534" t="s">
        <v>66</v>
      </c>
      <c r="E204" s="1534" t="s">
        <v>65</v>
      </c>
      <c r="F204" s="1534" t="s">
        <v>373</v>
      </c>
      <c r="G204" s="1534" t="s">
        <v>66</v>
      </c>
      <c r="H204" s="1534"/>
      <c r="I204" s="1568" t="s">
        <v>2394</v>
      </c>
      <c r="J204" s="1645" t="s">
        <v>2393</v>
      </c>
      <c r="K204" s="1521">
        <v>0.8</v>
      </c>
      <c r="L204" s="1569">
        <v>535000000</v>
      </c>
      <c r="M204" s="1593">
        <f>(K204/6)*2</f>
        <v>0.26666666666666666</v>
      </c>
      <c r="N204" s="1569">
        <v>42569250</v>
      </c>
      <c r="O204" s="1593">
        <f>M204/2</f>
        <v>0.13333333333333333</v>
      </c>
      <c r="P204" s="1569">
        <v>175619042</v>
      </c>
      <c r="Q204" s="1540">
        <v>1.4999999999999999E-2</v>
      </c>
      <c r="R204" s="1311">
        <v>800000</v>
      </c>
      <c r="S204" s="1314">
        <v>0</v>
      </c>
      <c r="T204" s="1311">
        <v>0</v>
      </c>
      <c r="U204" s="1314">
        <v>0</v>
      </c>
      <c r="V204" s="1311">
        <v>0</v>
      </c>
      <c r="W204" s="1314">
        <v>0</v>
      </c>
      <c r="X204" s="1311">
        <v>0</v>
      </c>
      <c r="Y204" s="1540">
        <f>W204+U204+S204+Q204</f>
        <v>1.4999999999999999E-2</v>
      </c>
      <c r="Z204" s="1538">
        <f>X204+V204+T204+R204</f>
        <v>800000</v>
      </c>
      <c r="AA204" s="1539">
        <f t="shared" si="79"/>
        <v>0.28166666666666668</v>
      </c>
      <c r="AB204" s="1538">
        <f t="shared" si="79"/>
        <v>43369250</v>
      </c>
      <c r="AC204" s="1591">
        <f t="shared" si="82"/>
        <v>0.3520833333333333</v>
      </c>
      <c r="AD204" s="1574">
        <f t="shared" si="83"/>
        <v>8.1064018691588788E-2</v>
      </c>
      <c r="AE204" s="1314"/>
    </row>
    <row r="205" spans="1:31" s="1297" customFormat="1" ht="38.25" customHeight="1">
      <c r="A205" s="1300"/>
      <c r="B205" s="1300" t="s">
        <v>2391</v>
      </c>
      <c r="C205" s="1300">
        <v>1</v>
      </c>
      <c r="D205" s="1299" t="s">
        <v>66</v>
      </c>
      <c r="E205" s="1299" t="s">
        <v>65</v>
      </c>
      <c r="F205" s="1299" t="s">
        <v>401</v>
      </c>
      <c r="G205" s="1300"/>
      <c r="H205" s="1300"/>
      <c r="I205" s="1554" t="s">
        <v>2395</v>
      </c>
      <c r="J205" s="1626" t="s">
        <v>2396</v>
      </c>
      <c r="K205" s="1646">
        <f>SUM(K206:K208)/3</f>
        <v>0.91666666666666663</v>
      </c>
      <c r="L205" s="1598">
        <v>21607915700</v>
      </c>
      <c r="M205" s="1599">
        <f>SUM(M206:M208)/3</f>
        <v>0.30555555555555558</v>
      </c>
      <c r="N205" s="1558">
        <f>SUM(N206:N208)</f>
        <v>452445365</v>
      </c>
      <c r="O205" s="1599">
        <f>SUM(O206:O208)/3</f>
        <v>0.15277777777777779</v>
      </c>
      <c r="P205" s="1647">
        <f>SUM(P206:P208)</f>
        <v>3258002611</v>
      </c>
      <c r="Q205" s="1648">
        <v>3.5999999999999997E-2</v>
      </c>
      <c r="R205" s="1609">
        <f>SUM(R206:R208)</f>
        <v>12770000</v>
      </c>
      <c r="S205" s="1610">
        <v>0</v>
      </c>
      <c r="T205" s="1611">
        <f>SUM(T206:T208)</f>
        <v>0</v>
      </c>
      <c r="U205" s="1610">
        <v>0</v>
      </c>
      <c r="V205" s="1609">
        <f>SUM(V206:V208)</f>
        <v>0</v>
      </c>
      <c r="W205" s="1610">
        <v>0</v>
      </c>
      <c r="X205" s="1587">
        <f>SUM(X206:X208)</f>
        <v>0</v>
      </c>
      <c r="Y205" s="1588">
        <f>W205+U205+S205+Q205</f>
        <v>3.5999999999999997E-2</v>
      </c>
      <c r="Z205" s="1585">
        <f>SUM(Z206:Z208)</f>
        <v>12770000</v>
      </c>
      <c r="AA205" s="1600">
        <f t="shared" si="79"/>
        <v>0.34155555555555556</v>
      </c>
      <c r="AB205" s="1585">
        <f t="shared" si="79"/>
        <v>465215365</v>
      </c>
      <c r="AC205" s="1565">
        <f t="shared" si="82"/>
        <v>0.37260606060606061</v>
      </c>
      <c r="AD205" s="1560">
        <f t="shared" si="83"/>
        <v>2.152985838425869E-2</v>
      </c>
      <c r="AE205" s="1612" t="s">
        <v>2272</v>
      </c>
    </row>
    <row r="206" spans="1:31" s="1298" customFormat="1" ht="39.75" customHeight="1">
      <c r="A206" s="1314"/>
      <c r="B206" s="1314"/>
      <c r="C206" s="1314">
        <v>1</v>
      </c>
      <c r="D206" s="1534" t="s">
        <v>66</v>
      </c>
      <c r="E206" s="1534" t="s">
        <v>95</v>
      </c>
      <c r="F206" s="1534" t="s">
        <v>401</v>
      </c>
      <c r="G206" s="1534" t="s">
        <v>95</v>
      </c>
      <c r="H206" s="1534"/>
      <c r="I206" s="1568" t="s">
        <v>2397</v>
      </c>
      <c r="J206" s="1626" t="s">
        <v>2398</v>
      </c>
      <c r="K206" s="1521">
        <v>0.9</v>
      </c>
      <c r="L206" s="1569">
        <v>3587915700</v>
      </c>
      <c r="M206" s="1570">
        <f>(K206/6)*2</f>
        <v>0.3</v>
      </c>
      <c r="N206" s="1569">
        <v>339707787</v>
      </c>
      <c r="O206" s="1570">
        <f>M206/2</f>
        <v>0.15</v>
      </c>
      <c r="P206" s="1569">
        <v>126036522</v>
      </c>
      <c r="Q206" s="1536">
        <v>3.5999999999999997E-2</v>
      </c>
      <c r="R206" s="1311">
        <v>3525000</v>
      </c>
      <c r="S206" s="1314">
        <v>0</v>
      </c>
      <c r="T206" s="1311">
        <v>0</v>
      </c>
      <c r="U206" s="1314">
        <v>0</v>
      </c>
      <c r="V206" s="1311">
        <v>0</v>
      </c>
      <c r="W206" s="1314">
        <v>0</v>
      </c>
      <c r="X206" s="1311">
        <v>0</v>
      </c>
      <c r="Y206" s="1540">
        <f>W206+U206+S206+Q206</f>
        <v>3.5999999999999997E-2</v>
      </c>
      <c r="Z206" s="1538">
        <f>X206+V206+T206+R206</f>
        <v>3525000</v>
      </c>
      <c r="AA206" s="1539">
        <f t="shared" si="79"/>
        <v>0.33599999999999997</v>
      </c>
      <c r="AB206" s="1538">
        <f t="shared" si="79"/>
        <v>343232787</v>
      </c>
      <c r="AC206" s="1591">
        <f t="shared" si="82"/>
        <v>0.37333333333333329</v>
      </c>
      <c r="AD206" s="1574">
        <f t="shared" si="83"/>
        <v>9.5663559486640112E-2</v>
      </c>
      <c r="AE206" s="1314"/>
    </row>
    <row r="207" spans="1:31" s="1298" customFormat="1" ht="107.25" customHeight="1">
      <c r="A207" s="1314"/>
      <c r="B207" s="1314"/>
      <c r="C207" s="1314">
        <v>1</v>
      </c>
      <c r="D207" s="1534" t="s">
        <v>66</v>
      </c>
      <c r="E207" s="1534" t="s">
        <v>95</v>
      </c>
      <c r="F207" s="1534" t="s">
        <v>401</v>
      </c>
      <c r="G207" s="1534" t="s">
        <v>161</v>
      </c>
      <c r="H207" s="1534"/>
      <c r="I207" s="1568" t="s">
        <v>2399</v>
      </c>
      <c r="J207" s="786" t="s">
        <v>2400</v>
      </c>
      <c r="K207" s="1521">
        <v>0.95</v>
      </c>
      <c r="L207" s="1569">
        <v>520000000</v>
      </c>
      <c r="M207" s="1570">
        <f t="shared" ref="M207:M208" si="88">(K207/6)*2</f>
        <v>0.31666666666666665</v>
      </c>
      <c r="N207" s="1569">
        <v>66437800</v>
      </c>
      <c r="O207" s="1570">
        <f t="shared" ref="O207:O208" si="89">M207/2</f>
        <v>0.15833333333333333</v>
      </c>
      <c r="P207" s="1569">
        <v>33086089</v>
      </c>
      <c r="Q207" s="1536">
        <v>2.3E-2</v>
      </c>
      <c r="R207" s="1314">
        <v>0</v>
      </c>
      <c r="S207" s="1534">
        <v>0</v>
      </c>
      <c r="T207" s="1311">
        <v>0</v>
      </c>
      <c r="U207" s="1314">
        <v>0</v>
      </c>
      <c r="V207" s="1311">
        <v>0</v>
      </c>
      <c r="W207" s="1314">
        <v>0</v>
      </c>
      <c r="X207" s="1311">
        <v>0</v>
      </c>
      <c r="Y207" s="1540">
        <f t="shared" ref="Y207:Z210" si="90">W207+U207+S207+Q207</f>
        <v>2.3E-2</v>
      </c>
      <c r="Z207" s="1538">
        <f t="shared" si="90"/>
        <v>0</v>
      </c>
      <c r="AA207" s="1539">
        <f t="shared" si="79"/>
        <v>0.33966666666666667</v>
      </c>
      <c r="AB207" s="1538">
        <f t="shared" si="79"/>
        <v>66437800</v>
      </c>
      <c r="AC207" s="1591">
        <f t="shared" si="82"/>
        <v>0.35754385964912283</v>
      </c>
      <c r="AD207" s="1574">
        <f t="shared" si="83"/>
        <v>0.12776499999999999</v>
      </c>
      <c r="AE207" s="1314"/>
    </row>
    <row r="208" spans="1:31" s="1298" customFormat="1" ht="101.25" customHeight="1">
      <c r="A208" s="1314"/>
      <c r="B208" s="1314"/>
      <c r="C208" s="1314">
        <v>1</v>
      </c>
      <c r="D208" s="1534" t="s">
        <v>66</v>
      </c>
      <c r="E208" s="1534" t="s">
        <v>95</v>
      </c>
      <c r="F208" s="1534" t="s">
        <v>401</v>
      </c>
      <c r="G208" s="1534" t="s">
        <v>197</v>
      </c>
      <c r="H208" s="1534"/>
      <c r="I208" s="1568" t="s">
        <v>2401</v>
      </c>
      <c r="J208" s="786" t="s">
        <v>2402</v>
      </c>
      <c r="K208" s="1521">
        <v>0.9</v>
      </c>
      <c r="L208" s="1569">
        <v>17500000000</v>
      </c>
      <c r="M208" s="1570">
        <f t="shared" si="88"/>
        <v>0.3</v>
      </c>
      <c r="N208" s="1569">
        <v>46299778</v>
      </c>
      <c r="O208" s="1570">
        <f t="shared" si="89"/>
        <v>0.15</v>
      </c>
      <c r="P208" s="1569">
        <v>3098880000</v>
      </c>
      <c r="Q208" s="1536">
        <v>1.2999999999999999E-2</v>
      </c>
      <c r="R208" s="1311">
        <v>9245000</v>
      </c>
      <c r="S208" s="1314">
        <v>0</v>
      </c>
      <c r="T208" s="1314">
        <v>0</v>
      </c>
      <c r="U208" s="1314">
        <v>0</v>
      </c>
      <c r="V208" s="1311">
        <v>0</v>
      </c>
      <c r="W208" s="1314">
        <v>0</v>
      </c>
      <c r="X208" s="1311">
        <v>0</v>
      </c>
      <c r="Y208" s="1540">
        <f t="shared" si="90"/>
        <v>1.2999999999999999E-2</v>
      </c>
      <c r="Z208" s="1538">
        <f t="shared" si="90"/>
        <v>9245000</v>
      </c>
      <c r="AA208" s="1539">
        <f t="shared" si="79"/>
        <v>0.313</v>
      </c>
      <c r="AB208" s="1538">
        <f t="shared" si="79"/>
        <v>55544778</v>
      </c>
      <c r="AC208" s="1591">
        <f t="shared" si="82"/>
        <v>0.3477777777777778</v>
      </c>
      <c r="AD208" s="1574">
        <f t="shared" si="83"/>
        <v>3.1739873142857143E-3</v>
      </c>
      <c r="AE208" s="1314"/>
    </row>
    <row r="209" spans="1:31" s="1298" customFormat="1" ht="15" thickBot="1">
      <c r="A209" s="1314"/>
      <c r="B209" s="1314"/>
      <c r="C209" s="1314"/>
      <c r="D209" s="1314"/>
      <c r="E209" s="1314"/>
      <c r="F209" s="1314"/>
      <c r="G209" s="1314"/>
      <c r="H209" s="1314"/>
      <c r="I209" s="1579"/>
      <c r="J209" s="786"/>
      <c r="K209" s="786"/>
      <c r="L209" s="786"/>
      <c r="M209" s="1649"/>
      <c r="N209" s="786"/>
      <c r="O209" s="786"/>
      <c r="P209" s="786"/>
      <c r="Q209" s="1314"/>
      <c r="R209" s="1314"/>
      <c r="S209" s="1314"/>
      <c r="T209" s="1314"/>
      <c r="U209" s="1314"/>
      <c r="V209" s="1314"/>
      <c r="W209" s="1314"/>
      <c r="X209" s="1311"/>
      <c r="Y209" s="1540"/>
      <c r="Z209" s="1550"/>
      <c r="AA209" s="1539"/>
      <c r="AB209" s="1538"/>
      <c r="AC209" s="1615"/>
      <c r="AD209" s="1574"/>
      <c r="AE209" s="1314"/>
    </row>
    <row r="210" spans="1:31" s="1513" customFormat="1" ht="42.75" customHeight="1" thickBot="1">
      <c r="A210" s="1300"/>
      <c r="B210" s="1300" t="s">
        <v>2311</v>
      </c>
      <c r="C210" s="1300">
        <v>1</v>
      </c>
      <c r="D210" s="1299" t="s">
        <v>66</v>
      </c>
      <c r="E210" s="1299" t="s">
        <v>65</v>
      </c>
      <c r="F210" s="1299" t="s">
        <v>2403</v>
      </c>
      <c r="G210" s="1300"/>
      <c r="H210" s="1300"/>
      <c r="I210" s="1554" t="s">
        <v>2404</v>
      </c>
      <c r="J210" s="1555" t="s">
        <v>2405</v>
      </c>
      <c r="K210" s="1632">
        <v>0.7</v>
      </c>
      <c r="L210" s="1633">
        <v>3748186500</v>
      </c>
      <c r="M210" s="1650">
        <f>SUM(M211:M213)/3</f>
        <v>0.21666666666666665</v>
      </c>
      <c r="N210" s="1635">
        <f>SUM(N211:N213)</f>
        <v>323701947</v>
      </c>
      <c r="O210" s="1651">
        <f>SUM(O211:O214)/4</f>
        <v>0.13124999999999998</v>
      </c>
      <c r="P210" s="1635">
        <f>SUM(P211:P214)</f>
        <v>355653487</v>
      </c>
      <c r="Q210" s="1529">
        <f>SUM(Q211:Q214)/4</f>
        <v>2.325E-2</v>
      </c>
      <c r="R210" s="1530">
        <f>SUM(R211:R214)</f>
        <v>22555100</v>
      </c>
      <c r="S210" s="1300">
        <v>0</v>
      </c>
      <c r="T210" s="1527">
        <f>SUM(T211:T213)</f>
        <v>0</v>
      </c>
      <c r="U210" s="1300">
        <v>0</v>
      </c>
      <c r="V210" s="1530">
        <f>SUM(V211:V213)</f>
        <v>0</v>
      </c>
      <c r="W210" s="1300">
        <v>0</v>
      </c>
      <c r="X210" s="1527">
        <f>SUM(X211:X213)</f>
        <v>0</v>
      </c>
      <c r="Y210" s="1532">
        <f t="shared" si="90"/>
        <v>2.325E-2</v>
      </c>
      <c r="Z210" s="1530">
        <f>SUM(Z211:Z213)</f>
        <v>14063900</v>
      </c>
      <c r="AA210" s="1539">
        <f t="shared" si="79"/>
        <v>0.23991666666666664</v>
      </c>
      <c r="AB210" s="1530">
        <f t="shared" si="79"/>
        <v>337765847</v>
      </c>
      <c r="AC210" s="1628">
        <f t="shared" si="82"/>
        <v>0.34273809523809523</v>
      </c>
      <c r="AD210" s="1629">
        <f t="shared" si="83"/>
        <v>9.0114471891940273E-2</v>
      </c>
      <c r="AE210" s="1533" t="s">
        <v>2272</v>
      </c>
    </row>
    <row r="211" spans="1:31" s="1298" customFormat="1" ht="63.75">
      <c r="A211" s="1314"/>
      <c r="B211" s="1314"/>
      <c r="C211" s="1314">
        <v>1</v>
      </c>
      <c r="D211" s="1534" t="s">
        <v>66</v>
      </c>
      <c r="E211" s="1534" t="s">
        <v>65</v>
      </c>
      <c r="F211" s="1534" t="s">
        <v>2403</v>
      </c>
      <c r="G211" s="1534" t="s">
        <v>66</v>
      </c>
      <c r="H211" s="1534"/>
      <c r="I211" s="1652" t="s">
        <v>2406</v>
      </c>
      <c r="J211" s="786" t="s">
        <v>2407</v>
      </c>
      <c r="K211" s="1521">
        <v>0.6</v>
      </c>
      <c r="L211" s="1569">
        <v>1160902500</v>
      </c>
      <c r="M211" s="1570">
        <f>(K211/6)*2</f>
        <v>0.19999999999999998</v>
      </c>
      <c r="N211" s="1569">
        <v>87380250</v>
      </c>
      <c r="O211" s="1570">
        <f>M211/2</f>
        <v>9.9999999999999992E-2</v>
      </c>
      <c r="P211" s="1569">
        <v>135522627</v>
      </c>
      <c r="Q211" s="1536">
        <v>2.1000000000000001E-2</v>
      </c>
      <c r="R211" s="1311">
        <v>3410200</v>
      </c>
      <c r="S211" s="1314">
        <v>0</v>
      </c>
      <c r="T211" s="1311">
        <v>0</v>
      </c>
      <c r="U211" s="1314">
        <v>0</v>
      </c>
      <c r="V211" s="1311">
        <v>0</v>
      </c>
      <c r="W211" s="1314">
        <v>0</v>
      </c>
      <c r="X211" s="1311">
        <v>0</v>
      </c>
      <c r="Y211" s="1540">
        <f>W211+U211+S211+Q211</f>
        <v>2.1000000000000001E-2</v>
      </c>
      <c r="Z211" s="1311">
        <f>X211+V211+T211+R211</f>
        <v>3410200</v>
      </c>
      <c r="AA211" s="1539">
        <f t="shared" si="79"/>
        <v>0.22099999999999997</v>
      </c>
      <c r="AB211" s="1538">
        <f t="shared" si="79"/>
        <v>90790450</v>
      </c>
      <c r="AC211" s="1591">
        <f t="shared" si="82"/>
        <v>0.36833333333333329</v>
      </c>
      <c r="AD211" s="1574">
        <f t="shared" si="83"/>
        <v>7.8206783084712114E-2</v>
      </c>
      <c r="AE211" s="1314"/>
    </row>
    <row r="212" spans="1:31" s="1298" customFormat="1" ht="56.25" customHeight="1">
      <c r="A212" s="1314"/>
      <c r="B212" s="1314"/>
      <c r="C212" s="1314">
        <v>1</v>
      </c>
      <c r="D212" s="1534" t="s">
        <v>66</v>
      </c>
      <c r="E212" s="1534" t="s">
        <v>65</v>
      </c>
      <c r="F212" s="1534" t="s">
        <v>2403</v>
      </c>
      <c r="G212" s="1534" t="s">
        <v>196</v>
      </c>
      <c r="H212" s="1534"/>
      <c r="I212" s="1652" t="s">
        <v>2408</v>
      </c>
      <c r="J212" s="786" t="s">
        <v>2409</v>
      </c>
      <c r="K212" s="1521">
        <v>0.6</v>
      </c>
      <c r="L212" s="1569">
        <v>1475000000</v>
      </c>
      <c r="M212" s="1570">
        <f t="shared" ref="M212:M213" si="91">(K212/6)*2</f>
        <v>0.19999999999999998</v>
      </c>
      <c r="N212" s="1569">
        <v>67584500</v>
      </c>
      <c r="O212" s="1570">
        <f t="shared" ref="O212:O213" si="92">M212/2</f>
        <v>9.9999999999999992E-2</v>
      </c>
      <c r="P212" s="1569">
        <v>50893076</v>
      </c>
      <c r="Q212" s="1536">
        <v>2.5000000000000001E-2</v>
      </c>
      <c r="R212" s="1311">
        <v>7004700</v>
      </c>
      <c r="S212" s="1314">
        <v>0</v>
      </c>
      <c r="T212" s="1311">
        <v>0</v>
      </c>
      <c r="U212" s="1314">
        <v>0</v>
      </c>
      <c r="V212" s="1311">
        <v>0</v>
      </c>
      <c r="W212" s="1314">
        <v>0</v>
      </c>
      <c r="X212" s="1311">
        <v>0</v>
      </c>
      <c r="Y212" s="1540">
        <f t="shared" ref="Y212:Z214" si="93">W212+U212+S212+Q212</f>
        <v>2.5000000000000001E-2</v>
      </c>
      <c r="Z212" s="1311">
        <f t="shared" si="93"/>
        <v>7004700</v>
      </c>
      <c r="AA212" s="1539">
        <f t="shared" si="79"/>
        <v>0.22499999999999998</v>
      </c>
      <c r="AB212" s="1538">
        <f t="shared" si="79"/>
        <v>74589200</v>
      </c>
      <c r="AC212" s="1591">
        <f t="shared" si="82"/>
        <v>0.375</v>
      </c>
      <c r="AD212" s="1574">
        <f t="shared" si="83"/>
        <v>5.056894915254237E-2</v>
      </c>
      <c r="AE212" s="1314"/>
    </row>
    <row r="213" spans="1:31" s="1298" customFormat="1" ht="56.25" customHeight="1">
      <c r="A213" s="1314"/>
      <c r="B213" s="1314"/>
      <c r="C213" s="1314">
        <v>1</v>
      </c>
      <c r="D213" s="1534" t="s">
        <v>66</v>
      </c>
      <c r="E213" s="1534" t="s">
        <v>65</v>
      </c>
      <c r="F213" s="1534">
        <v>33</v>
      </c>
      <c r="G213" s="1534" t="s">
        <v>65</v>
      </c>
      <c r="H213" s="1534"/>
      <c r="I213" s="1652" t="s">
        <v>2410</v>
      </c>
      <c r="J213" s="786" t="s">
        <v>2411</v>
      </c>
      <c r="K213" s="1521">
        <v>0.75</v>
      </c>
      <c r="L213" s="1569">
        <v>647284000</v>
      </c>
      <c r="M213" s="1570">
        <f t="shared" si="91"/>
        <v>0.25</v>
      </c>
      <c r="N213" s="1569">
        <v>168737197</v>
      </c>
      <c r="O213" s="1570">
        <f t="shared" si="92"/>
        <v>0.125</v>
      </c>
      <c r="P213" s="1569">
        <v>96378306</v>
      </c>
      <c r="Q213" s="1536">
        <v>2.3E-2</v>
      </c>
      <c r="R213" s="1569">
        <v>3649000</v>
      </c>
      <c r="S213" s="786">
        <v>0</v>
      </c>
      <c r="T213" s="1569">
        <v>0</v>
      </c>
      <c r="U213" s="786">
        <v>0</v>
      </c>
      <c r="V213" s="1569">
        <v>0</v>
      </c>
      <c r="W213" s="786">
        <v>0</v>
      </c>
      <c r="X213" s="1569">
        <v>0</v>
      </c>
      <c r="Y213" s="1540">
        <f t="shared" si="93"/>
        <v>2.3E-2</v>
      </c>
      <c r="Z213" s="1311">
        <f t="shared" si="93"/>
        <v>3649000</v>
      </c>
      <c r="AA213" s="1539">
        <f t="shared" si="79"/>
        <v>0.27300000000000002</v>
      </c>
      <c r="AB213" s="1595">
        <f t="shared" si="79"/>
        <v>172386197</v>
      </c>
      <c r="AC213" s="1591">
        <f t="shared" si="82"/>
        <v>0.36400000000000005</v>
      </c>
      <c r="AD213" s="1574">
        <f t="shared" si="83"/>
        <v>0.26632235154893369</v>
      </c>
      <c r="AE213" s="786"/>
    </row>
    <row r="214" spans="1:31" s="1298" customFormat="1" ht="39" customHeight="1" thickBot="1">
      <c r="A214" s="1314"/>
      <c r="B214" s="1314"/>
      <c r="C214" s="1314">
        <v>1</v>
      </c>
      <c r="D214" s="1534" t="s">
        <v>66</v>
      </c>
      <c r="E214" s="1534" t="s">
        <v>65</v>
      </c>
      <c r="F214" s="1534">
        <v>33</v>
      </c>
      <c r="G214" s="1534" t="s">
        <v>95</v>
      </c>
      <c r="H214" s="1534"/>
      <c r="I214" s="1652" t="s">
        <v>2412</v>
      </c>
      <c r="J214" s="786" t="s">
        <v>2413</v>
      </c>
      <c r="K214" s="1521">
        <v>1</v>
      </c>
      <c r="L214" s="1569">
        <v>465000000</v>
      </c>
      <c r="M214" s="1649"/>
      <c r="N214" s="1569"/>
      <c r="O214" s="1570">
        <f>K214/5</f>
        <v>0.2</v>
      </c>
      <c r="P214" s="1569">
        <v>72859478</v>
      </c>
      <c r="Q214" s="1536">
        <v>2.4E-2</v>
      </c>
      <c r="R214" s="1569">
        <v>8491200</v>
      </c>
      <c r="S214" s="786"/>
      <c r="T214" s="1569"/>
      <c r="U214" s="786"/>
      <c r="V214" s="1569"/>
      <c r="W214" s="786"/>
      <c r="X214" s="1569"/>
      <c r="Y214" s="1540">
        <f t="shared" si="93"/>
        <v>2.4E-2</v>
      </c>
      <c r="Z214" s="1311">
        <f t="shared" si="93"/>
        <v>8491200</v>
      </c>
      <c r="AA214" s="1539">
        <f t="shared" si="79"/>
        <v>2.4E-2</v>
      </c>
      <c r="AB214" s="1595">
        <f t="shared" si="79"/>
        <v>8491200</v>
      </c>
      <c r="AC214" s="1591">
        <f t="shared" si="82"/>
        <v>2.4E-2</v>
      </c>
      <c r="AD214" s="1574">
        <f t="shared" si="83"/>
        <v>1.8260645161290324E-2</v>
      </c>
      <c r="AE214" s="786"/>
    </row>
    <row r="215" spans="1:31" s="1298" customFormat="1" ht="64.5" customHeight="1" thickBot="1">
      <c r="A215" s="1314"/>
      <c r="B215" s="1300" t="s">
        <v>2268</v>
      </c>
      <c r="C215" s="1534" t="s">
        <v>65</v>
      </c>
      <c r="D215" s="1314">
        <v>1</v>
      </c>
      <c r="E215" s="1534" t="s">
        <v>66</v>
      </c>
      <c r="F215" s="1534" t="s">
        <v>65</v>
      </c>
      <c r="G215" s="1314">
        <v>38</v>
      </c>
      <c r="H215" s="1314"/>
      <c r="I215" s="1554" t="s">
        <v>2414</v>
      </c>
      <c r="J215" s="1555" t="s">
        <v>2415</v>
      </c>
      <c r="K215" s="1653">
        <v>0.9</v>
      </c>
      <c r="L215" s="1642">
        <v>86500000000</v>
      </c>
      <c r="M215" s="1653">
        <f>M216</f>
        <v>0.3</v>
      </c>
      <c r="N215" s="1635">
        <v>4430025584</v>
      </c>
      <c r="O215" s="1653">
        <f>O216</f>
        <v>0.15</v>
      </c>
      <c r="P215" s="1635">
        <f t="shared" ref="P215:V215" si="94">P216</f>
        <v>3000000000</v>
      </c>
      <c r="Q215" s="1654">
        <f t="shared" si="94"/>
        <v>2.5000000000000001E-2</v>
      </c>
      <c r="R215" s="846">
        <f t="shared" si="94"/>
        <v>0</v>
      </c>
      <c r="S215" s="846">
        <f t="shared" si="94"/>
        <v>0</v>
      </c>
      <c r="T215" s="846">
        <f t="shared" si="94"/>
        <v>0</v>
      </c>
      <c r="U215" s="846">
        <f t="shared" si="94"/>
        <v>0</v>
      </c>
      <c r="V215" s="846">
        <f t="shared" si="94"/>
        <v>0</v>
      </c>
      <c r="W215" s="846">
        <v>0</v>
      </c>
      <c r="X215" s="1635">
        <f>X216</f>
        <v>0</v>
      </c>
      <c r="Y215" s="1654">
        <f>Y216</f>
        <v>2.5000000000000001E-2</v>
      </c>
      <c r="Z215" s="1642">
        <f>Z216</f>
        <v>0</v>
      </c>
      <c r="AA215" s="1546">
        <f t="shared" si="79"/>
        <v>0.32500000000000001</v>
      </c>
      <c r="AB215" s="1642">
        <f t="shared" si="79"/>
        <v>4430025584</v>
      </c>
      <c r="AC215" s="1628">
        <f t="shared" si="82"/>
        <v>0.3611111111111111</v>
      </c>
      <c r="AD215" s="1629">
        <f t="shared" si="83"/>
        <v>5.1214168601156067E-2</v>
      </c>
      <c r="AE215" s="1314"/>
    </row>
    <row r="216" spans="1:31" s="1514" customFormat="1" ht="51.75" thickBot="1">
      <c r="A216" s="1614"/>
      <c r="B216" s="1614"/>
      <c r="C216" s="1614">
        <v>1</v>
      </c>
      <c r="D216" s="2052" t="s">
        <v>66</v>
      </c>
      <c r="E216" s="2052" t="s">
        <v>65</v>
      </c>
      <c r="F216" s="1614">
        <v>16</v>
      </c>
      <c r="G216" s="2052" t="s">
        <v>2403</v>
      </c>
      <c r="H216" s="2052"/>
      <c r="I216" s="2053" t="s">
        <v>2416</v>
      </c>
      <c r="J216" s="1645" t="s">
        <v>2415</v>
      </c>
      <c r="K216" s="2054">
        <v>0.9</v>
      </c>
      <c r="L216" s="2055">
        <f>L215</f>
        <v>86500000000</v>
      </c>
      <c r="M216" s="2056">
        <f>(K216/6)*2</f>
        <v>0.3</v>
      </c>
      <c r="N216" s="2055">
        <v>4430025584</v>
      </c>
      <c r="O216" s="2056">
        <f>M216/2</f>
        <v>0.15</v>
      </c>
      <c r="P216" s="2055">
        <v>3000000000</v>
      </c>
      <c r="Q216" s="2057">
        <v>2.5000000000000001E-2</v>
      </c>
      <c r="R216" s="1614">
        <v>0</v>
      </c>
      <c r="S216" s="1614"/>
      <c r="T216" s="1614">
        <v>0</v>
      </c>
      <c r="U216" s="1614">
        <v>0</v>
      </c>
      <c r="V216" s="2055">
        <v>0</v>
      </c>
      <c r="W216" s="1614">
        <v>0</v>
      </c>
      <c r="X216" s="2055">
        <v>0</v>
      </c>
      <c r="Y216" s="2057">
        <f>W216+U216+S216+Q216</f>
        <v>2.5000000000000001E-2</v>
      </c>
      <c r="Z216" s="2058">
        <f>X216+V216+T216+R216</f>
        <v>0</v>
      </c>
      <c r="AA216" s="2059">
        <f t="shared" si="79"/>
        <v>0.32500000000000001</v>
      </c>
      <c r="AB216" s="2058">
        <f t="shared" si="79"/>
        <v>4430025584</v>
      </c>
      <c r="AC216" s="2060">
        <f t="shared" si="82"/>
        <v>0.3611111111111111</v>
      </c>
      <c r="AD216" s="2061">
        <f t="shared" si="83"/>
        <v>5.1214168601156067E-2</v>
      </c>
      <c r="AE216" s="1614"/>
    </row>
    <row r="217" spans="1:31" s="2068" customFormat="1" ht="15" customHeight="1" thickBot="1">
      <c r="A217" s="1655"/>
      <c r="B217" s="1655"/>
      <c r="C217" s="1655"/>
      <c r="D217" s="1655"/>
      <c r="E217" s="1655"/>
      <c r="F217" s="1655"/>
      <c r="G217" s="1655"/>
      <c r="H217" s="1655"/>
      <c r="I217" s="2394" t="s">
        <v>2417</v>
      </c>
      <c r="J217" s="2394"/>
      <c r="K217" s="2394"/>
      <c r="L217" s="2394"/>
      <c r="M217" s="2394"/>
      <c r="N217" s="2394"/>
      <c r="O217" s="2394"/>
      <c r="P217" s="2395"/>
      <c r="Q217" s="2065">
        <f>(Q215+Q210+Q205+Q203+Q198+Q190+Q184+Q176+Q166+Q161+Q155+Q149+Q143+Q139+Q136+Q118)/16</f>
        <v>2.2295535714285712E-2</v>
      </c>
      <c r="R217" s="2066">
        <f>R215+R210+R205+R203+R198+R190+R184+R176+R166+R161+R155+R149+R143+R139+R118</f>
        <v>587962704</v>
      </c>
      <c r="S217" s="1657"/>
      <c r="T217" s="1657"/>
      <c r="U217" s="1657"/>
      <c r="V217" s="1657"/>
      <c r="W217" s="1657"/>
      <c r="X217" s="1657"/>
      <c r="Y217" s="2067"/>
      <c r="Z217" s="1655"/>
      <c r="AA217" s="1655"/>
      <c r="AB217" s="1655"/>
      <c r="AC217" s="1655"/>
      <c r="AD217" s="1655"/>
      <c r="AE217" s="1658"/>
    </row>
    <row r="218" spans="1:31" s="1298" customFormat="1" ht="15" customHeight="1" thickBot="1">
      <c r="A218" s="2069"/>
      <c r="B218" s="2396"/>
      <c r="C218" s="2396"/>
      <c r="D218" s="2396"/>
      <c r="E218" s="2396"/>
      <c r="F218" s="2396"/>
      <c r="G218" s="2396"/>
      <c r="H218" s="2396"/>
      <c r="I218" s="2396"/>
      <c r="J218" s="2396"/>
      <c r="K218" s="2396"/>
      <c r="L218" s="2396"/>
      <c r="M218" s="2396"/>
      <c r="N218" s="2396"/>
      <c r="O218" s="2396"/>
      <c r="P218" s="2397"/>
      <c r="Q218" s="2062"/>
      <c r="R218" s="2062"/>
      <c r="S218" s="2062"/>
      <c r="T218" s="2062"/>
      <c r="U218" s="2062"/>
      <c r="V218" s="2062"/>
      <c r="W218" s="2062"/>
      <c r="X218" s="2062"/>
      <c r="Y218" s="2063"/>
      <c r="Z218" s="1656"/>
      <c r="AA218" s="1656"/>
      <c r="AB218" s="1656"/>
      <c r="AC218" s="1656"/>
      <c r="AD218" s="1656"/>
      <c r="AE218" s="2064"/>
    </row>
    <row r="219" spans="1:31" ht="11.25" customHeight="1" thickBot="1">
      <c r="A219" s="2070"/>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382"/>
      <c r="Z219" s="56"/>
      <c r="AA219" s="56"/>
      <c r="AB219" s="56"/>
      <c r="AC219" s="56"/>
      <c r="AD219" s="56"/>
      <c r="AE219" s="56"/>
    </row>
    <row r="220" spans="1:31" s="69" customFormat="1" ht="38.25">
      <c r="A220" s="2072">
        <v>3</v>
      </c>
      <c r="B220" s="67"/>
      <c r="C220" s="67"/>
      <c r="D220" s="67"/>
      <c r="E220" s="67"/>
      <c r="F220" s="67"/>
      <c r="G220" s="67"/>
      <c r="H220" s="67"/>
      <c r="I220" s="68" t="s">
        <v>117</v>
      </c>
      <c r="J220" s="67"/>
      <c r="K220" s="67"/>
      <c r="L220" s="67"/>
      <c r="M220" s="67"/>
      <c r="N220" s="67"/>
      <c r="O220" s="67"/>
      <c r="P220" s="67"/>
      <c r="Q220" s="67"/>
      <c r="R220" s="67"/>
      <c r="S220" s="67"/>
      <c r="T220" s="67"/>
      <c r="U220" s="67"/>
      <c r="V220" s="67"/>
      <c r="W220" s="67"/>
      <c r="X220" s="67"/>
      <c r="Y220" s="366"/>
      <c r="Z220" s="67"/>
      <c r="AA220" s="67"/>
      <c r="AB220" s="67"/>
      <c r="AC220" s="67"/>
      <c r="AD220" s="67"/>
      <c r="AE220" s="67"/>
    </row>
    <row r="221" spans="1:31" s="145" customFormat="1" ht="39" customHeight="1">
      <c r="A221" s="753">
        <v>1</v>
      </c>
      <c r="B221" s="384"/>
      <c r="C221" s="1905" t="s">
        <v>196</v>
      </c>
      <c r="D221" s="1905" t="s">
        <v>66</v>
      </c>
      <c r="E221" s="1905" t="s">
        <v>66</v>
      </c>
      <c r="F221" s="1905"/>
      <c r="G221" s="1905"/>
      <c r="H221" s="383"/>
      <c r="I221" s="383" t="s">
        <v>1662</v>
      </c>
      <c r="J221" s="618" t="s">
        <v>1038</v>
      </c>
      <c r="K221" s="1190">
        <v>1</v>
      </c>
      <c r="L221" s="1191">
        <f>SUM(L222:L232)</f>
        <v>2410969494</v>
      </c>
      <c r="M221" s="1192">
        <v>1</v>
      </c>
      <c r="N221" s="628">
        <f>SUM(N222:N232)</f>
        <v>1455088534</v>
      </c>
      <c r="O221" s="1192" t="s">
        <v>1663</v>
      </c>
      <c r="P221" s="628">
        <f>SUM(P222:P232)</f>
        <v>1489764570.5</v>
      </c>
      <c r="Q221" s="1193">
        <f>SUM(Q222:Q232)/11</f>
        <v>0.15636363636363637</v>
      </c>
      <c r="R221" s="1194">
        <f>SUM(R222:R232)</f>
        <v>197781177</v>
      </c>
      <c r="S221" s="1193"/>
      <c r="T221" s="1194"/>
      <c r="U221" s="1193"/>
      <c r="V221" s="1194"/>
      <c r="W221" s="1193"/>
      <c r="X221" s="1194"/>
      <c r="Y221" s="1195">
        <f t="shared" ref="Y221:Z232" si="95">Q221+S221+U221+W221</f>
        <v>0.15636363636363637</v>
      </c>
      <c r="Z221" s="1196">
        <f t="shared" si="95"/>
        <v>197781177</v>
      </c>
      <c r="AA221" s="1195">
        <f t="shared" ref="AA221:AB232" si="96">M221+Y221</f>
        <v>1.1563636363636363</v>
      </c>
      <c r="AB221" s="1196">
        <f t="shared" si="96"/>
        <v>1652869711</v>
      </c>
      <c r="AC221" s="1195">
        <f t="shared" ref="AC221:AD232" si="97">AA221/K221*100%</f>
        <v>1.1563636363636363</v>
      </c>
      <c r="AD221" s="1197">
        <f>(AB221/L221)*100%</f>
        <v>0.68556226659581287</v>
      </c>
      <c r="AE221" s="1198" t="s">
        <v>1664</v>
      </c>
    </row>
    <row r="222" spans="1:31" s="494" customFormat="1" ht="24" customHeight="1">
      <c r="A222" s="384"/>
      <c r="B222" s="384"/>
      <c r="C222" s="421" t="s">
        <v>196</v>
      </c>
      <c r="D222" s="421" t="s">
        <v>66</v>
      </c>
      <c r="E222" s="421" t="s">
        <v>66</v>
      </c>
      <c r="F222" s="1199" t="s">
        <v>65</v>
      </c>
      <c r="G222" s="1199"/>
      <c r="H222" s="1199"/>
      <c r="I222" s="1200" t="s">
        <v>195</v>
      </c>
      <c r="J222" s="384" t="s">
        <v>1665</v>
      </c>
      <c r="K222" s="591">
        <v>1</v>
      </c>
      <c r="L222" s="590">
        <v>423636480</v>
      </c>
      <c r="M222" s="591">
        <v>1</v>
      </c>
      <c r="N222" s="590">
        <v>269145011</v>
      </c>
      <c r="O222" s="1201" t="s">
        <v>1663</v>
      </c>
      <c r="P222" s="590">
        <v>303100000</v>
      </c>
      <c r="Q222" s="1195">
        <v>0.25</v>
      </c>
      <c r="R222" s="590">
        <v>23844293</v>
      </c>
      <c r="S222" s="1195"/>
      <c r="T222" s="1196"/>
      <c r="U222" s="1195"/>
      <c r="V222" s="1202"/>
      <c r="W222" s="1195"/>
      <c r="X222" s="1202"/>
      <c r="Y222" s="1195">
        <f t="shared" si="95"/>
        <v>0.25</v>
      </c>
      <c r="Z222" s="1203">
        <f>R222+T222+V222+X222</f>
        <v>23844293</v>
      </c>
      <c r="AA222" s="1195">
        <f t="shared" si="96"/>
        <v>1.25</v>
      </c>
      <c r="AB222" s="1196">
        <f>N222+Z222</f>
        <v>292989304</v>
      </c>
      <c r="AC222" s="1195">
        <f t="shared" si="97"/>
        <v>1.25</v>
      </c>
      <c r="AD222" s="1204">
        <f>(AB222/L222)*100%</f>
        <v>0.6916054632500015</v>
      </c>
      <c r="AE222" s="384"/>
    </row>
    <row r="223" spans="1:31" s="494" customFormat="1" ht="41.25" customHeight="1">
      <c r="A223" s="384"/>
      <c r="B223" s="384"/>
      <c r="C223" s="421" t="s">
        <v>196</v>
      </c>
      <c r="D223" s="421" t="s">
        <v>66</v>
      </c>
      <c r="E223" s="421" t="s">
        <v>66</v>
      </c>
      <c r="F223" s="1199" t="s">
        <v>161</v>
      </c>
      <c r="G223" s="1199"/>
      <c r="H223" s="1199"/>
      <c r="I223" s="1200" t="s">
        <v>1666</v>
      </c>
      <c r="J223" s="384" t="s">
        <v>1667</v>
      </c>
      <c r="K223" s="591">
        <v>1</v>
      </c>
      <c r="L223" s="590">
        <v>54033736</v>
      </c>
      <c r="M223" s="591">
        <v>1</v>
      </c>
      <c r="N223" s="590">
        <v>36458586</v>
      </c>
      <c r="O223" s="1201" t="s">
        <v>1668</v>
      </c>
      <c r="P223" s="590">
        <v>11513211.5</v>
      </c>
      <c r="Q223" s="1195">
        <v>0.05</v>
      </c>
      <c r="R223" s="590">
        <v>0</v>
      </c>
      <c r="S223" s="1195"/>
      <c r="T223" s="1202"/>
      <c r="U223" s="1195"/>
      <c r="V223" s="1202"/>
      <c r="W223" s="1195"/>
      <c r="X223" s="1202"/>
      <c r="Y223" s="1195">
        <f t="shared" si="95"/>
        <v>0.05</v>
      </c>
      <c r="Z223" s="1205">
        <f t="shared" si="95"/>
        <v>0</v>
      </c>
      <c r="AA223" s="1195">
        <f t="shared" si="96"/>
        <v>1.05</v>
      </c>
      <c r="AB223" s="1196">
        <f t="shared" si="96"/>
        <v>36458586</v>
      </c>
      <c r="AC223" s="1195">
        <f t="shared" si="97"/>
        <v>1.05</v>
      </c>
      <c r="AD223" s="1204">
        <f t="shared" si="97"/>
        <v>0.67473746401692458</v>
      </c>
      <c r="AE223" s="384"/>
    </row>
    <row r="224" spans="1:31" s="494" customFormat="1" ht="43.5" customHeight="1">
      <c r="A224" s="384"/>
      <c r="B224" s="384"/>
      <c r="C224" s="421" t="s">
        <v>196</v>
      </c>
      <c r="D224" s="421" t="s">
        <v>66</v>
      </c>
      <c r="E224" s="421" t="s">
        <v>66</v>
      </c>
      <c r="F224" s="1199" t="s">
        <v>198</v>
      </c>
      <c r="G224" s="1199"/>
      <c r="H224" s="1199"/>
      <c r="I224" s="1200" t="s">
        <v>199</v>
      </c>
      <c r="J224" s="384" t="s">
        <v>1669</v>
      </c>
      <c r="K224" s="591">
        <v>1</v>
      </c>
      <c r="L224" s="590">
        <v>534055680</v>
      </c>
      <c r="M224" s="591">
        <v>1</v>
      </c>
      <c r="N224" s="590">
        <v>299800000</v>
      </c>
      <c r="O224" s="1201" t="s">
        <v>1663</v>
      </c>
      <c r="P224" s="590">
        <v>366250000</v>
      </c>
      <c r="Q224" s="1195">
        <v>0.2</v>
      </c>
      <c r="R224" s="590">
        <v>62800000</v>
      </c>
      <c r="S224" s="1195"/>
      <c r="T224" s="1196"/>
      <c r="U224" s="1195"/>
      <c r="V224" s="1202"/>
      <c r="W224" s="1195"/>
      <c r="X224" s="1202"/>
      <c r="Y224" s="1195">
        <f t="shared" si="95"/>
        <v>0.2</v>
      </c>
      <c r="Z224" s="1203">
        <f t="shared" si="95"/>
        <v>62800000</v>
      </c>
      <c r="AA224" s="1195">
        <f t="shared" si="96"/>
        <v>1.2</v>
      </c>
      <c r="AB224" s="1196">
        <f t="shared" si="96"/>
        <v>362600000</v>
      </c>
      <c r="AC224" s="1195">
        <f t="shared" si="97"/>
        <v>1.2</v>
      </c>
      <c r="AD224" s="1204">
        <f t="shared" si="97"/>
        <v>0.678955422775393</v>
      </c>
      <c r="AE224" s="384"/>
    </row>
    <row r="225" spans="1:31" s="494" customFormat="1" ht="39.75" customHeight="1">
      <c r="A225" s="384"/>
      <c r="B225" s="384"/>
      <c r="C225" s="421" t="s">
        <v>196</v>
      </c>
      <c r="D225" s="421" t="s">
        <v>66</v>
      </c>
      <c r="E225" s="421" t="s">
        <v>66</v>
      </c>
      <c r="F225" s="1199" t="s">
        <v>93</v>
      </c>
      <c r="G225" s="1199"/>
      <c r="H225" s="1199"/>
      <c r="I225" s="1200" t="s">
        <v>200</v>
      </c>
      <c r="J225" s="384" t="s">
        <v>1670</v>
      </c>
      <c r="K225" s="591">
        <v>1</v>
      </c>
      <c r="L225" s="590">
        <v>305916134</v>
      </c>
      <c r="M225" s="591">
        <v>1</v>
      </c>
      <c r="N225" s="590">
        <v>216429000</v>
      </c>
      <c r="O225" s="1201" t="s">
        <v>1668</v>
      </c>
      <c r="P225" s="590">
        <v>204750000</v>
      </c>
      <c r="Q225" s="1195">
        <v>0.02</v>
      </c>
      <c r="R225" s="590">
        <v>0</v>
      </c>
      <c r="S225" s="1195"/>
      <c r="T225" s="1202"/>
      <c r="U225" s="1195"/>
      <c r="V225" s="1202"/>
      <c r="W225" s="1195"/>
      <c r="X225" s="1202"/>
      <c r="Y225" s="1195">
        <f t="shared" si="95"/>
        <v>0.02</v>
      </c>
      <c r="Z225" s="1205">
        <f t="shared" si="95"/>
        <v>0</v>
      </c>
      <c r="AA225" s="1195">
        <f t="shared" si="96"/>
        <v>1.02</v>
      </c>
      <c r="AB225" s="1196">
        <f t="shared" si="96"/>
        <v>216429000</v>
      </c>
      <c r="AC225" s="1195">
        <f t="shared" si="97"/>
        <v>1.02</v>
      </c>
      <c r="AD225" s="1204">
        <f t="shared" si="97"/>
        <v>0.70747821362046892</v>
      </c>
      <c r="AE225" s="384"/>
    </row>
    <row r="226" spans="1:31" s="494" customFormat="1" ht="36.75" customHeight="1">
      <c r="A226" s="384"/>
      <c r="B226" s="384"/>
      <c r="C226" s="421" t="s">
        <v>196</v>
      </c>
      <c r="D226" s="421" t="s">
        <v>66</v>
      </c>
      <c r="E226" s="421" t="s">
        <v>66</v>
      </c>
      <c r="F226" s="421">
        <v>10</v>
      </c>
      <c r="G226" s="421"/>
      <c r="H226" s="421"/>
      <c r="I226" s="1200" t="s">
        <v>203</v>
      </c>
      <c r="J226" s="384" t="s">
        <v>1671</v>
      </c>
      <c r="K226" s="591">
        <v>1</v>
      </c>
      <c r="L226" s="590">
        <v>72572981</v>
      </c>
      <c r="M226" s="591">
        <v>1</v>
      </c>
      <c r="N226" s="590">
        <v>34993344</v>
      </c>
      <c r="O226" s="1201" t="s">
        <v>1668</v>
      </c>
      <c r="P226" s="590">
        <v>23653236</v>
      </c>
      <c r="Q226" s="1195">
        <v>0.2</v>
      </c>
      <c r="R226" s="590">
        <v>12255644</v>
      </c>
      <c r="S226" s="1206"/>
      <c r="T226" s="1202"/>
      <c r="U226" s="1195"/>
      <c r="V226" s="1202"/>
      <c r="W226" s="1195"/>
      <c r="X226" s="1202"/>
      <c r="Y226" s="1195">
        <f t="shared" si="95"/>
        <v>0.2</v>
      </c>
      <c r="Z226" s="1203">
        <f t="shared" si="95"/>
        <v>12255644</v>
      </c>
      <c r="AA226" s="1195">
        <f t="shared" si="96"/>
        <v>1.2</v>
      </c>
      <c r="AB226" s="1196">
        <f t="shared" si="96"/>
        <v>47248988</v>
      </c>
      <c r="AC226" s="1195">
        <f t="shared" si="97"/>
        <v>1.2</v>
      </c>
      <c r="AD226" s="1204">
        <f t="shared" si="97"/>
        <v>0.6510548050933721</v>
      </c>
      <c r="AE226" s="384"/>
    </row>
    <row r="227" spans="1:31" s="494" customFormat="1" ht="38.25">
      <c r="A227" s="384"/>
      <c r="B227" s="384"/>
      <c r="C227" s="421" t="s">
        <v>196</v>
      </c>
      <c r="D227" s="421" t="s">
        <v>66</v>
      </c>
      <c r="E227" s="421" t="s">
        <v>66</v>
      </c>
      <c r="F227" s="421">
        <v>11</v>
      </c>
      <c r="G227" s="421"/>
      <c r="H227" s="421"/>
      <c r="I227" s="1200" t="s">
        <v>204</v>
      </c>
      <c r="J227" s="384" t="s">
        <v>1672</v>
      </c>
      <c r="K227" s="591">
        <v>1</v>
      </c>
      <c r="L227" s="590">
        <v>89202125</v>
      </c>
      <c r="M227" s="591">
        <v>1</v>
      </c>
      <c r="N227" s="590">
        <v>32225200</v>
      </c>
      <c r="O227" s="1201" t="s">
        <v>1668</v>
      </c>
      <c r="P227" s="590">
        <v>42404123</v>
      </c>
      <c r="Q227" s="1195">
        <v>0.15</v>
      </c>
      <c r="R227" s="590">
        <v>11773365</v>
      </c>
      <c r="S227" s="1195"/>
      <c r="T227" s="1202"/>
      <c r="U227" s="1195"/>
      <c r="V227" s="1202"/>
      <c r="W227" s="1195"/>
      <c r="X227" s="1202"/>
      <c r="Y227" s="1195">
        <f t="shared" si="95"/>
        <v>0.15</v>
      </c>
      <c r="Z227" s="1203">
        <f t="shared" si="95"/>
        <v>11773365</v>
      </c>
      <c r="AA227" s="1195">
        <f t="shared" si="96"/>
        <v>1.1499999999999999</v>
      </c>
      <c r="AB227" s="1196">
        <f t="shared" si="96"/>
        <v>43998565</v>
      </c>
      <c r="AC227" s="1195">
        <f t="shared" si="97"/>
        <v>1.1499999999999999</v>
      </c>
      <c r="AD227" s="1204">
        <f t="shared" si="97"/>
        <v>0.49324570462867334</v>
      </c>
      <c r="AE227" s="384"/>
    </row>
    <row r="228" spans="1:31" s="494" customFormat="1" ht="51">
      <c r="A228" s="384"/>
      <c r="B228" s="384"/>
      <c r="C228" s="421" t="s">
        <v>196</v>
      </c>
      <c r="D228" s="421" t="s">
        <v>66</v>
      </c>
      <c r="E228" s="421" t="s">
        <v>66</v>
      </c>
      <c r="F228" s="421">
        <v>12</v>
      </c>
      <c r="G228" s="421"/>
      <c r="H228" s="421"/>
      <c r="I228" s="1200" t="s">
        <v>205</v>
      </c>
      <c r="J228" s="384" t="s">
        <v>1673</v>
      </c>
      <c r="K228" s="591">
        <v>1</v>
      </c>
      <c r="L228" s="590">
        <v>10355558</v>
      </c>
      <c r="M228" s="591">
        <v>1</v>
      </c>
      <c r="N228" s="590">
        <v>4953000</v>
      </c>
      <c r="O228" s="1201" t="s">
        <v>1668</v>
      </c>
      <c r="P228" s="590">
        <v>4994000</v>
      </c>
      <c r="Q228" s="1195">
        <v>0.05</v>
      </c>
      <c r="R228" s="590">
        <v>0</v>
      </c>
      <c r="S228" s="1195"/>
      <c r="T228" s="1207"/>
      <c r="U228" s="1195"/>
      <c r="V228" s="1202"/>
      <c r="W228" s="1195"/>
      <c r="X228" s="1202"/>
      <c r="Y228" s="1195">
        <f t="shared" si="95"/>
        <v>0.05</v>
      </c>
      <c r="Z228" s="1205">
        <f t="shared" si="95"/>
        <v>0</v>
      </c>
      <c r="AA228" s="1195">
        <f t="shared" si="96"/>
        <v>1.05</v>
      </c>
      <c r="AB228" s="1196">
        <f t="shared" si="96"/>
        <v>4953000</v>
      </c>
      <c r="AC228" s="1195">
        <f t="shared" si="97"/>
        <v>1.05</v>
      </c>
      <c r="AD228" s="1204">
        <f t="shared" si="97"/>
        <v>0.47829387851432054</v>
      </c>
      <c r="AE228" s="384"/>
    </row>
    <row r="229" spans="1:31" s="494" customFormat="1" ht="43.5" customHeight="1">
      <c r="A229" s="384"/>
      <c r="B229" s="384"/>
      <c r="C229" s="421" t="s">
        <v>196</v>
      </c>
      <c r="D229" s="421" t="s">
        <v>66</v>
      </c>
      <c r="E229" s="421" t="s">
        <v>66</v>
      </c>
      <c r="F229" s="421">
        <v>13</v>
      </c>
      <c r="G229" s="421"/>
      <c r="H229" s="421"/>
      <c r="I229" s="1200" t="s">
        <v>1674</v>
      </c>
      <c r="J229" s="384" t="s">
        <v>1675</v>
      </c>
      <c r="K229" s="591">
        <v>1</v>
      </c>
      <c r="L229" s="590">
        <v>107827200</v>
      </c>
      <c r="M229" s="591">
        <v>1</v>
      </c>
      <c r="N229" s="590">
        <v>135820000</v>
      </c>
      <c r="O229" s="1201" t="s">
        <v>1668</v>
      </c>
      <c r="P229" s="590">
        <v>91250000</v>
      </c>
      <c r="Q229" s="591">
        <v>0.25</v>
      </c>
      <c r="R229" s="590">
        <v>0</v>
      </c>
      <c r="S229" s="1195"/>
      <c r="T229" s="1202"/>
      <c r="U229" s="1195"/>
      <c r="V229" s="1202"/>
      <c r="W229" s="1195"/>
      <c r="X229" s="1202"/>
      <c r="Y229" s="1195">
        <f t="shared" si="95"/>
        <v>0.25</v>
      </c>
      <c r="Z229" s="1203">
        <f>R229+T229+V229+X229</f>
        <v>0</v>
      </c>
      <c r="AA229" s="1195">
        <f t="shared" si="96"/>
        <v>1.25</v>
      </c>
      <c r="AB229" s="1196">
        <f t="shared" si="96"/>
        <v>135820000</v>
      </c>
      <c r="AC229" s="1195">
        <f t="shared" si="97"/>
        <v>1.25</v>
      </c>
      <c r="AD229" s="1204">
        <f t="shared" si="97"/>
        <v>1.2596079653371319</v>
      </c>
      <c r="AE229" s="384"/>
    </row>
    <row r="230" spans="1:31" s="494" customFormat="1" ht="38.25" customHeight="1">
      <c r="A230" s="384"/>
      <c r="B230" s="384"/>
      <c r="C230" s="421" t="s">
        <v>196</v>
      </c>
      <c r="D230" s="421" t="s">
        <v>66</v>
      </c>
      <c r="E230" s="421" t="s">
        <v>66</v>
      </c>
      <c r="F230" s="421">
        <v>17</v>
      </c>
      <c r="G230" s="421"/>
      <c r="H230" s="421"/>
      <c r="I230" s="1200" t="s">
        <v>206</v>
      </c>
      <c r="J230" s="384" t="s">
        <v>1676</v>
      </c>
      <c r="K230" s="591">
        <v>1</v>
      </c>
      <c r="L230" s="590">
        <v>146748672</v>
      </c>
      <c r="M230" s="591">
        <v>1</v>
      </c>
      <c r="N230" s="590">
        <v>63825500</v>
      </c>
      <c r="O230" s="1201" t="s">
        <v>1668</v>
      </c>
      <c r="P230" s="590">
        <v>78750000</v>
      </c>
      <c r="Q230" s="1195">
        <v>0.2</v>
      </c>
      <c r="R230" s="590">
        <v>19277500</v>
      </c>
      <c r="S230" s="1195"/>
      <c r="T230" s="1196"/>
      <c r="U230" s="1195"/>
      <c r="V230" s="1202"/>
      <c r="W230" s="1195"/>
      <c r="X230" s="1202"/>
      <c r="Y230" s="1195">
        <f t="shared" si="95"/>
        <v>0.2</v>
      </c>
      <c r="Z230" s="1203">
        <f t="shared" si="95"/>
        <v>19277500</v>
      </c>
      <c r="AA230" s="1195">
        <f t="shared" si="96"/>
        <v>1.2</v>
      </c>
      <c r="AB230" s="1196">
        <f t="shared" si="96"/>
        <v>83103000</v>
      </c>
      <c r="AC230" s="1195">
        <f t="shared" si="97"/>
        <v>1.2</v>
      </c>
      <c r="AD230" s="1204">
        <f t="shared" si="97"/>
        <v>0.5662947328068495</v>
      </c>
      <c r="AE230" s="384"/>
    </row>
    <row r="231" spans="1:31" s="494" customFormat="1" ht="38.25">
      <c r="A231" s="384"/>
      <c r="B231" s="384"/>
      <c r="C231" s="421" t="s">
        <v>196</v>
      </c>
      <c r="D231" s="421" t="s">
        <v>66</v>
      </c>
      <c r="E231" s="421" t="s">
        <v>66</v>
      </c>
      <c r="F231" s="421">
        <v>18</v>
      </c>
      <c r="G231" s="421"/>
      <c r="H231" s="421"/>
      <c r="I231" s="1200" t="s">
        <v>207</v>
      </c>
      <c r="J231" s="384" t="s">
        <v>1677</v>
      </c>
      <c r="K231" s="591">
        <v>1</v>
      </c>
      <c r="L231" s="590">
        <v>442112256</v>
      </c>
      <c r="M231" s="591">
        <v>1</v>
      </c>
      <c r="N231" s="590">
        <v>258513643</v>
      </c>
      <c r="O231" s="1201" t="s">
        <v>1668</v>
      </c>
      <c r="P231" s="590">
        <v>285500000</v>
      </c>
      <c r="Q231" s="1195">
        <v>0.1</v>
      </c>
      <c r="R231" s="590">
        <v>44671375</v>
      </c>
      <c r="S231" s="1195"/>
      <c r="T231" s="1202"/>
      <c r="U231" s="1195"/>
      <c r="V231" s="1202"/>
      <c r="W231" s="1195"/>
      <c r="X231" s="1202"/>
      <c r="Y231" s="1195">
        <f t="shared" si="95"/>
        <v>0.1</v>
      </c>
      <c r="Z231" s="1203">
        <f t="shared" si="95"/>
        <v>44671375</v>
      </c>
      <c r="AA231" s="1195">
        <f t="shared" si="96"/>
        <v>1.1000000000000001</v>
      </c>
      <c r="AB231" s="1196">
        <f t="shared" si="96"/>
        <v>303185018</v>
      </c>
      <c r="AC231" s="1195">
        <f t="shared" si="97"/>
        <v>1.1000000000000001</v>
      </c>
      <c r="AD231" s="1204">
        <f t="shared" si="97"/>
        <v>0.68576478911274519</v>
      </c>
      <c r="AE231" s="384"/>
    </row>
    <row r="232" spans="1:31" s="494" customFormat="1" ht="38.25">
      <c r="A232" s="384"/>
      <c r="B232" s="384"/>
      <c r="C232" s="421" t="s">
        <v>196</v>
      </c>
      <c r="D232" s="421" t="s">
        <v>66</v>
      </c>
      <c r="E232" s="421" t="s">
        <v>66</v>
      </c>
      <c r="F232" s="421">
        <v>20</v>
      </c>
      <c r="G232" s="421"/>
      <c r="H232" s="421"/>
      <c r="I232" s="1200" t="s">
        <v>208</v>
      </c>
      <c r="J232" s="384" t="s">
        <v>1678</v>
      </c>
      <c r="K232" s="591">
        <v>1</v>
      </c>
      <c r="L232" s="590">
        <v>224508672</v>
      </c>
      <c r="M232" s="591">
        <v>1</v>
      </c>
      <c r="N232" s="590">
        <v>102925250</v>
      </c>
      <c r="O232" s="1201" t="s">
        <v>1668</v>
      </c>
      <c r="P232" s="590">
        <v>77600000</v>
      </c>
      <c r="Q232" s="1195">
        <v>0.25</v>
      </c>
      <c r="R232" s="590">
        <v>23159000</v>
      </c>
      <c r="S232" s="1195"/>
      <c r="T232" s="1202"/>
      <c r="U232" s="1195"/>
      <c r="V232" s="1202"/>
      <c r="W232" s="1195"/>
      <c r="X232" s="1202"/>
      <c r="Y232" s="1195">
        <f t="shared" si="95"/>
        <v>0.25</v>
      </c>
      <c r="Z232" s="1203">
        <f t="shared" si="95"/>
        <v>23159000</v>
      </c>
      <c r="AA232" s="1195">
        <f t="shared" si="96"/>
        <v>1.25</v>
      </c>
      <c r="AB232" s="1196">
        <f t="shared" si="96"/>
        <v>126084250</v>
      </c>
      <c r="AC232" s="1195">
        <f t="shared" si="97"/>
        <v>1.25</v>
      </c>
      <c r="AD232" s="1204">
        <f t="shared" si="97"/>
        <v>0.56160080088131292</v>
      </c>
      <c r="AE232" s="384"/>
    </row>
    <row r="233" spans="1:31" s="494" customFormat="1">
      <c r="A233" s="384"/>
      <c r="B233" s="384"/>
      <c r="C233" s="421"/>
      <c r="D233" s="421"/>
      <c r="E233" s="421"/>
      <c r="F233" s="384"/>
      <c r="G233" s="384"/>
      <c r="H233" s="384"/>
      <c r="I233" s="1200"/>
      <c r="J233" s="384"/>
      <c r="K233" s="591"/>
      <c r="L233" s="590"/>
      <c r="M233" s="591"/>
      <c r="N233" s="590"/>
      <c r="O233" s="1201"/>
      <c r="P233" s="590"/>
      <c r="Q233" s="1195"/>
      <c r="R233" s="590"/>
      <c r="S233" s="1195"/>
      <c r="T233" s="1202"/>
      <c r="U233" s="1195"/>
      <c r="V233" s="1202"/>
      <c r="W233" s="1195"/>
      <c r="X233" s="1202"/>
      <c r="Y233" s="1195"/>
      <c r="Z233" s="1203"/>
      <c r="AA233" s="1195"/>
      <c r="AB233" s="1196"/>
      <c r="AC233" s="591"/>
      <c r="AD233" s="1197"/>
      <c r="AE233" s="384"/>
    </row>
    <row r="234" spans="1:31" s="494" customFormat="1" ht="20.25" customHeight="1">
      <c r="A234" s="2398" t="s">
        <v>89</v>
      </c>
      <c r="B234" s="2398"/>
      <c r="C234" s="2398"/>
      <c r="D234" s="2398"/>
      <c r="E234" s="2398"/>
      <c r="F234" s="2398"/>
      <c r="G234" s="2398"/>
      <c r="H234" s="2398"/>
      <c r="I234" s="2398"/>
      <c r="J234" s="2398"/>
      <c r="K234" s="2398"/>
      <c r="L234" s="2398"/>
      <c r="M234" s="2398"/>
      <c r="N234" s="2398"/>
      <c r="O234" s="2398"/>
      <c r="P234" s="2398"/>
      <c r="Q234" s="2398"/>
      <c r="R234" s="2398"/>
      <c r="S234" s="2398"/>
      <c r="T234" s="2398"/>
      <c r="U234" s="2398"/>
      <c r="V234" s="2398"/>
      <c r="W234" s="2398"/>
      <c r="X234" s="2398"/>
      <c r="Y234" s="2398"/>
      <c r="Z234" s="2398"/>
      <c r="AA234" s="2398"/>
      <c r="AB234" s="2398"/>
      <c r="AC234" s="1195">
        <f>AVERAGE(AC222:AC232)</f>
        <v>1.156363636363636</v>
      </c>
      <c r="AD234" s="1195">
        <f>AD221</f>
        <v>0.68556226659581287</v>
      </c>
      <c r="AE234" s="384"/>
    </row>
    <row r="235" spans="1:31" s="494" customFormat="1">
      <c r="A235" s="2398" t="s">
        <v>1679</v>
      </c>
      <c r="B235" s="2398"/>
      <c r="C235" s="2398"/>
      <c r="D235" s="2398"/>
      <c r="E235" s="2398"/>
      <c r="F235" s="2398"/>
      <c r="G235" s="2398"/>
      <c r="H235" s="2398"/>
      <c r="I235" s="2398"/>
      <c r="J235" s="2398"/>
      <c r="K235" s="2398"/>
      <c r="L235" s="2398"/>
      <c r="M235" s="2398"/>
      <c r="N235" s="2398"/>
      <c r="O235" s="2398"/>
      <c r="P235" s="2398"/>
      <c r="Q235" s="2398"/>
      <c r="R235" s="2398"/>
      <c r="S235" s="2398"/>
      <c r="T235" s="2398"/>
      <c r="U235" s="2398"/>
      <c r="V235" s="2398"/>
      <c r="W235" s="2398"/>
      <c r="X235" s="2398"/>
      <c r="Y235" s="2398"/>
      <c r="Z235" s="2398"/>
      <c r="AA235" s="2398"/>
      <c r="AB235" s="2398"/>
      <c r="AC235" s="384"/>
      <c r="AD235" s="384"/>
      <c r="AE235" s="384"/>
    </row>
    <row r="236" spans="1:31" s="145" customFormat="1" ht="72" customHeight="1">
      <c r="A236" s="753">
        <v>2</v>
      </c>
      <c r="B236" s="383" t="s">
        <v>1680</v>
      </c>
      <c r="C236" s="1905" t="s">
        <v>196</v>
      </c>
      <c r="D236" s="1905" t="s">
        <v>66</v>
      </c>
      <c r="E236" s="1905" t="s">
        <v>65</v>
      </c>
      <c r="F236" s="1905"/>
      <c r="G236" s="1905"/>
      <c r="H236" s="383"/>
      <c r="I236" s="383" t="s">
        <v>1681</v>
      </c>
      <c r="J236" s="618" t="s">
        <v>1682</v>
      </c>
      <c r="K236" s="1208">
        <v>1</v>
      </c>
      <c r="L236" s="692">
        <f>SUM(L237:L254)</f>
        <v>15403888517</v>
      </c>
      <c r="M236" s="1209">
        <v>1</v>
      </c>
      <c r="N236" s="1210">
        <f>SUM(N237:N254)</f>
        <v>19004593188</v>
      </c>
      <c r="O236" s="1209">
        <v>1</v>
      </c>
      <c r="P236" s="1211">
        <f>SUM(P237:P254)</f>
        <v>30190456641.5</v>
      </c>
      <c r="Q236" s="1212">
        <v>0.25</v>
      </c>
      <c r="R236" s="1213">
        <f>R237+R238+R244+R245+R246+R253+R254</f>
        <v>7282475546</v>
      </c>
      <c r="S236" s="1212"/>
      <c r="T236" s="1210"/>
      <c r="U236" s="1212"/>
      <c r="V236" s="1210"/>
      <c r="W236" s="1212"/>
      <c r="X236" s="1210"/>
      <c r="Y236" s="1214">
        <f t="shared" ref="Y236:Z238" si="98">Q236+S236+U236+W236</f>
        <v>0.25</v>
      </c>
      <c r="Z236" s="1215">
        <f t="shared" si="98"/>
        <v>7282475546</v>
      </c>
      <c r="AA236" s="1212">
        <f t="shared" ref="AA236:AB251" si="99">M236+Y236</f>
        <v>1.25</v>
      </c>
      <c r="AB236" s="1211">
        <f t="shared" si="99"/>
        <v>26287068734</v>
      </c>
      <c r="AC236" s="1214">
        <f t="shared" ref="AC236:AD251" si="100">AA236/K236*100%</f>
        <v>1.25</v>
      </c>
      <c r="AD236" s="1216">
        <f t="shared" si="100"/>
        <v>1.7065216166027903</v>
      </c>
      <c r="AE236" s="1198" t="s">
        <v>1664</v>
      </c>
    </row>
    <row r="237" spans="1:31" s="494" customFormat="1" ht="57.75" customHeight="1">
      <c r="A237" s="384"/>
      <c r="B237" s="384"/>
      <c r="C237" s="421" t="s">
        <v>196</v>
      </c>
      <c r="D237" s="595" t="s">
        <v>66</v>
      </c>
      <c r="E237" s="595" t="s">
        <v>65</v>
      </c>
      <c r="F237" s="421" t="s">
        <v>196</v>
      </c>
      <c r="G237" s="421"/>
      <c r="H237" s="421"/>
      <c r="I237" s="1200" t="s">
        <v>1683</v>
      </c>
      <c r="J237" s="384" t="s">
        <v>1684</v>
      </c>
      <c r="K237" s="591">
        <v>0.22700000000000001</v>
      </c>
      <c r="L237" s="1202">
        <v>6000000000</v>
      </c>
      <c r="M237" s="591">
        <v>1</v>
      </c>
      <c r="N237" s="590">
        <v>14247940816</v>
      </c>
      <c r="O237" s="1217" t="s">
        <v>1685</v>
      </c>
      <c r="P237" s="590">
        <v>25683396269</v>
      </c>
      <c r="Q237" s="1195">
        <v>0.3</v>
      </c>
      <c r="R237" s="590">
        <v>7218230143</v>
      </c>
      <c r="S237" s="1195"/>
      <c r="T237" s="1196"/>
      <c r="U237" s="1195"/>
      <c r="V237" s="1202"/>
      <c r="W237" s="1195"/>
      <c r="X237" s="1202"/>
      <c r="Y237" s="1195">
        <f t="shared" si="98"/>
        <v>0.3</v>
      </c>
      <c r="Z237" s="1196">
        <f t="shared" si="98"/>
        <v>7218230143</v>
      </c>
      <c r="AA237" s="1195">
        <f t="shared" si="99"/>
        <v>1.3</v>
      </c>
      <c r="AB237" s="1196">
        <f t="shared" si="99"/>
        <v>21466170959</v>
      </c>
      <c r="AC237" s="1195">
        <f t="shared" si="100"/>
        <v>5.7268722466960353</v>
      </c>
      <c r="AD237" s="1204">
        <f t="shared" si="100"/>
        <v>3.5776951598333335</v>
      </c>
      <c r="AE237" s="1906" t="s">
        <v>1686</v>
      </c>
    </row>
    <row r="238" spans="1:31" s="494" customFormat="1" ht="30.75" customHeight="1">
      <c r="A238" s="384"/>
      <c r="B238" s="384"/>
      <c r="C238" s="421" t="s">
        <v>196</v>
      </c>
      <c r="D238" s="595" t="s">
        <v>66</v>
      </c>
      <c r="E238" s="595" t="s">
        <v>65</v>
      </c>
      <c r="F238" s="1218">
        <v>120</v>
      </c>
      <c r="G238" s="1218"/>
      <c r="H238" s="421"/>
      <c r="I238" s="1200" t="s">
        <v>1687</v>
      </c>
      <c r="J238" s="384" t="s">
        <v>1688</v>
      </c>
      <c r="K238" s="591">
        <v>1</v>
      </c>
      <c r="L238" s="1202">
        <v>700000000</v>
      </c>
      <c r="M238" s="591">
        <v>1</v>
      </c>
      <c r="N238" s="590">
        <v>533629460</v>
      </c>
      <c r="O238" s="1201" t="s">
        <v>1689</v>
      </c>
      <c r="P238" s="590">
        <v>310032879</v>
      </c>
      <c r="Q238" s="1195">
        <v>0</v>
      </c>
      <c r="R238" s="590">
        <v>1515928</v>
      </c>
      <c r="S238" s="1195"/>
      <c r="T238" s="1196"/>
      <c r="U238" s="1195"/>
      <c r="V238" s="1202"/>
      <c r="W238" s="1195"/>
      <c r="X238" s="1202"/>
      <c r="Y238" s="1195">
        <f t="shared" si="98"/>
        <v>0</v>
      </c>
      <c r="Z238" s="1196">
        <f t="shared" si="98"/>
        <v>1515928</v>
      </c>
      <c r="AA238" s="1195">
        <f t="shared" si="99"/>
        <v>1</v>
      </c>
      <c r="AB238" s="1196">
        <f t="shared" si="99"/>
        <v>535145388</v>
      </c>
      <c r="AC238" s="1195">
        <f t="shared" si="100"/>
        <v>1</v>
      </c>
      <c r="AD238" s="1204">
        <f t="shared" si="100"/>
        <v>0.76449341142857141</v>
      </c>
      <c r="AE238" s="384"/>
    </row>
    <row r="239" spans="1:31" s="494" customFormat="1" ht="38.25">
      <c r="A239" s="384"/>
      <c r="B239" s="384"/>
      <c r="C239" s="421" t="s">
        <v>196</v>
      </c>
      <c r="D239" s="595" t="s">
        <v>66</v>
      </c>
      <c r="E239" s="595" t="s">
        <v>65</v>
      </c>
      <c r="F239" s="421">
        <v>111</v>
      </c>
      <c r="G239" s="421"/>
      <c r="H239" s="384"/>
      <c r="I239" s="1200" t="s">
        <v>1690</v>
      </c>
      <c r="J239" s="384" t="s">
        <v>1691</v>
      </c>
      <c r="K239" s="591">
        <v>1</v>
      </c>
      <c r="L239" s="1202">
        <v>500000000</v>
      </c>
      <c r="M239" s="591">
        <v>1</v>
      </c>
      <c r="N239" s="590">
        <v>439677820</v>
      </c>
      <c r="O239" s="1217"/>
      <c r="P239" s="590"/>
      <c r="Q239" s="1195"/>
      <c r="R239" s="590"/>
      <c r="S239" s="1195"/>
      <c r="T239" s="1196"/>
      <c r="U239" s="1195"/>
      <c r="V239" s="1202"/>
      <c r="W239" s="1195"/>
      <c r="X239" s="1202"/>
      <c r="Y239" s="1195"/>
      <c r="Z239" s="1196"/>
      <c r="AA239" s="1195">
        <f t="shared" si="99"/>
        <v>1</v>
      </c>
      <c r="AB239" s="1196">
        <f t="shared" si="99"/>
        <v>439677820</v>
      </c>
      <c r="AC239" s="1195">
        <f t="shared" si="100"/>
        <v>1</v>
      </c>
      <c r="AD239" s="1204">
        <f t="shared" si="100"/>
        <v>0.87935563999999999</v>
      </c>
      <c r="AE239" s="384"/>
    </row>
    <row r="240" spans="1:31" s="494" customFormat="1" ht="25.5">
      <c r="A240" s="384"/>
      <c r="B240" s="384"/>
      <c r="C240" s="421" t="s">
        <v>196</v>
      </c>
      <c r="D240" s="595" t="s">
        <v>66</v>
      </c>
      <c r="E240" s="595" t="s">
        <v>65</v>
      </c>
      <c r="F240" s="421">
        <v>112</v>
      </c>
      <c r="G240" s="421"/>
      <c r="H240" s="384"/>
      <c r="I240" s="1200" t="s">
        <v>1692</v>
      </c>
      <c r="J240" s="384"/>
      <c r="K240" s="591">
        <v>1</v>
      </c>
      <c r="L240" s="1202">
        <v>200000000</v>
      </c>
      <c r="M240" s="591">
        <v>1</v>
      </c>
      <c r="N240" s="590">
        <v>199361640</v>
      </c>
      <c r="O240" s="1201"/>
      <c r="P240" s="590"/>
      <c r="Q240" s="1195"/>
      <c r="R240" s="590"/>
      <c r="S240" s="1195"/>
      <c r="T240" s="1196"/>
      <c r="U240" s="1195"/>
      <c r="V240" s="1202"/>
      <c r="W240" s="1195"/>
      <c r="X240" s="1202"/>
      <c r="Y240" s="1195"/>
      <c r="Z240" s="1196"/>
      <c r="AA240" s="1195">
        <f t="shared" si="99"/>
        <v>1</v>
      </c>
      <c r="AB240" s="1196">
        <f t="shared" si="99"/>
        <v>199361640</v>
      </c>
      <c r="AC240" s="1195">
        <f t="shared" si="100"/>
        <v>1</v>
      </c>
      <c r="AD240" s="1204">
        <f t="shared" si="100"/>
        <v>0.99680820000000003</v>
      </c>
      <c r="AE240" s="384"/>
    </row>
    <row r="241" spans="1:32" s="494" customFormat="1" ht="30.75" customHeight="1">
      <c r="A241" s="384"/>
      <c r="B241" s="384"/>
      <c r="C241" s="421" t="s">
        <v>196</v>
      </c>
      <c r="D241" s="595" t="s">
        <v>66</v>
      </c>
      <c r="E241" s="595" t="s">
        <v>65</v>
      </c>
      <c r="F241" s="421">
        <v>113</v>
      </c>
      <c r="G241" s="421"/>
      <c r="H241" s="384"/>
      <c r="I241" s="1200" t="s">
        <v>1693</v>
      </c>
      <c r="J241" s="384"/>
      <c r="K241" s="591">
        <v>1</v>
      </c>
      <c r="L241" s="1202">
        <v>200000000</v>
      </c>
      <c r="M241" s="591">
        <v>1</v>
      </c>
      <c r="N241" s="590">
        <v>199508140</v>
      </c>
      <c r="O241" s="1201"/>
      <c r="P241" s="590"/>
      <c r="Q241" s="1195"/>
      <c r="R241" s="590"/>
      <c r="S241" s="1195"/>
      <c r="T241" s="1196"/>
      <c r="U241" s="1195"/>
      <c r="V241" s="1202"/>
      <c r="W241" s="1195"/>
      <c r="X241" s="1202"/>
      <c r="Y241" s="1195"/>
      <c r="Z241" s="1196"/>
      <c r="AA241" s="1195">
        <f t="shared" si="99"/>
        <v>1</v>
      </c>
      <c r="AB241" s="1196">
        <f t="shared" si="99"/>
        <v>199508140</v>
      </c>
      <c r="AC241" s="1195">
        <f t="shared" si="100"/>
        <v>1</v>
      </c>
      <c r="AD241" s="1204">
        <f t="shared" si="100"/>
        <v>0.99754069999999995</v>
      </c>
      <c r="AE241" s="384"/>
    </row>
    <row r="242" spans="1:32" s="494" customFormat="1" ht="29.25" customHeight="1">
      <c r="A242" s="384"/>
      <c r="B242" s="384"/>
      <c r="C242" s="421" t="s">
        <v>196</v>
      </c>
      <c r="D242" s="595" t="s">
        <v>66</v>
      </c>
      <c r="E242" s="595" t="s">
        <v>65</v>
      </c>
      <c r="F242" s="421">
        <v>114</v>
      </c>
      <c r="G242" s="421"/>
      <c r="H242" s="384"/>
      <c r="I242" s="1200" t="s">
        <v>1694</v>
      </c>
      <c r="J242" s="384"/>
      <c r="K242" s="591">
        <v>1</v>
      </c>
      <c r="L242" s="1202">
        <v>200000000</v>
      </c>
      <c r="M242" s="591">
        <v>1</v>
      </c>
      <c r="N242" s="590">
        <v>199478140</v>
      </c>
      <c r="O242" s="1217"/>
      <c r="P242" s="590"/>
      <c r="Q242" s="1195"/>
      <c r="R242" s="590"/>
      <c r="S242" s="1195"/>
      <c r="T242" s="1196"/>
      <c r="U242" s="1195"/>
      <c r="V242" s="1202"/>
      <c r="W242" s="1195"/>
      <c r="X242" s="1202"/>
      <c r="Y242" s="1195"/>
      <c r="Z242" s="1196"/>
      <c r="AA242" s="1195">
        <f t="shared" si="99"/>
        <v>1</v>
      </c>
      <c r="AB242" s="1196">
        <f t="shared" si="99"/>
        <v>199478140</v>
      </c>
      <c r="AC242" s="1195">
        <f t="shared" si="100"/>
        <v>1</v>
      </c>
      <c r="AD242" s="1204">
        <f t="shared" si="100"/>
        <v>0.99739069999999996</v>
      </c>
      <c r="AE242" s="384"/>
    </row>
    <row r="243" spans="1:32" s="494" customFormat="1" ht="29.25" customHeight="1">
      <c r="A243" s="384"/>
      <c r="B243" s="384"/>
      <c r="C243" s="421" t="s">
        <v>196</v>
      </c>
      <c r="D243" s="595" t="s">
        <v>66</v>
      </c>
      <c r="E243" s="595" t="s">
        <v>65</v>
      </c>
      <c r="F243" s="421">
        <v>115</v>
      </c>
      <c r="G243" s="421"/>
      <c r="H243" s="384"/>
      <c r="I243" s="1200" t="s">
        <v>1695</v>
      </c>
      <c r="J243" s="384" t="s">
        <v>1696</v>
      </c>
      <c r="K243" s="591">
        <v>1</v>
      </c>
      <c r="L243" s="1202">
        <v>351350000</v>
      </c>
      <c r="M243" s="591">
        <v>1</v>
      </c>
      <c r="N243" s="590">
        <v>346643459</v>
      </c>
      <c r="O243" s="1217"/>
      <c r="P243" s="590"/>
      <c r="Q243" s="384"/>
      <c r="R243" s="590"/>
      <c r="S243" s="591"/>
      <c r="T243" s="1196"/>
      <c r="U243" s="1195"/>
      <c r="V243" s="1202"/>
      <c r="W243" s="1195"/>
      <c r="X243" s="1202"/>
      <c r="Y243" s="1195"/>
      <c r="Z243" s="1196"/>
      <c r="AA243" s="1195">
        <f t="shared" si="99"/>
        <v>1</v>
      </c>
      <c r="AB243" s="1196">
        <f t="shared" si="99"/>
        <v>346643459</v>
      </c>
      <c r="AC243" s="1195">
        <f t="shared" si="100"/>
        <v>1</v>
      </c>
      <c r="AD243" s="1204">
        <f t="shared" si="100"/>
        <v>0.98660440870926425</v>
      </c>
      <c r="AE243" s="384"/>
    </row>
    <row r="244" spans="1:32" s="494" customFormat="1" ht="38.25">
      <c r="A244" s="384"/>
      <c r="B244" s="384"/>
      <c r="C244" s="421" t="s">
        <v>196</v>
      </c>
      <c r="D244" s="595" t="s">
        <v>66</v>
      </c>
      <c r="E244" s="595" t="s">
        <v>65</v>
      </c>
      <c r="F244" s="421">
        <v>24</v>
      </c>
      <c r="G244" s="421"/>
      <c r="H244" s="421"/>
      <c r="I244" s="1200" t="s">
        <v>1697</v>
      </c>
      <c r="J244" s="384" t="s">
        <v>1698</v>
      </c>
      <c r="K244" s="591">
        <v>1</v>
      </c>
      <c r="L244" s="1202">
        <v>162436608</v>
      </c>
      <c r="M244" s="1219">
        <v>1</v>
      </c>
      <c r="N244" s="681">
        <v>129297327</v>
      </c>
      <c r="O244" s="1220" t="s">
        <v>1663</v>
      </c>
      <c r="P244" s="681">
        <v>139192000.5</v>
      </c>
      <c r="Q244" s="1214">
        <v>0.25</v>
      </c>
      <c r="R244" s="681">
        <v>22242136</v>
      </c>
      <c r="S244" s="1214"/>
      <c r="T244" s="1221"/>
      <c r="U244" s="1214"/>
      <c r="V244" s="1221"/>
      <c r="W244" s="1214"/>
      <c r="X244" s="1221"/>
      <c r="Y244" s="1214">
        <v>0</v>
      </c>
      <c r="Z244" s="1215">
        <v>0</v>
      </c>
      <c r="AA244" s="1214">
        <v>0</v>
      </c>
      <c r="AB244" s="1215">
        <f t="shared" si="99"/>
        <v>129297327</v>
      </c>
      <c r="AC244" s="1195">
        <f t="shared" si="100"/>
        <v>0</v>
      </c>
      <c r="AD244" s="1204">
        <f t="shared" si="100"/>
        <v>0.79598637642076353</v>
      </c>
      <c r="AE244" s="634"/>
      <c r="AF244" s="656"/>
    </row>
    <row r="245" spans="1:32" s="494" customFormat="1" ht="38.25">
      <c r="A245" s="384"/>
      <c r="B245" s="384"/>
      <c r="C245" s="421" t="s">
        <v>196</v>
      </c>
      <c r="D245" s="595" t="s">
        <v>66</v>
      </c>
      <c r="E245" s="595" t="s">
        <v>65</v>
      </c>
      <c r="F245" s="421">
        <v>28</v>
      </c>
      <c r="G245" s="421"/>
      <c r="H245" s="421"/>
      <c r="I245" s="1200" t="s">
        <v>1699</v>
      </c>
      <c r="J245" s="384" t="s">
        <v>1700</v>
      </c>
      <c r="K245" s="591">
        <v>1</v>
      </c>
      <c r="L245" s="1202">
        <v>36403379</v>
      </c>
      <c r="M245" s="1219">
        <v>1</v>
      </c>
      <c r="N245" s="681">
        <v>17660000</v>
      </c>
      <c r="O245" s="1219">
        <v>1</v>
      </c>
      <c r="P245" s="681">
        <v>25600000</v>
      </c>
      <c r="Q245" s="1214">
        <v>0.25</v>
      </c>
      <c r="R245" s="681">
        <v>1940000</v>
      </c>
      <c r="S245" s="1214"/>
      <c r="T245" s="1221"/>
      <c r="U245" s="1214"/>
      <c r="V245" s="1221"/>
      <c r="W245" s="1214"/>
      <c r="X245" s="1221"/>
      <c r="Y245" s="1214">
        <v>0</v>
      </c>
      <c r="Z245" s="1215">
        <v>0</v>
      </c>
      <c r="AA245" s="1214">
        <v>0</v>
      </c>
      <c r="AB245" s="1215">
        <f t="shared" si="99"/>
        <v>17660000</v>
      </c>
      <c r="AC245" s="1195">
        <f t="shared" si="100"/>
        <v>0</v>
      </c>
      <c r="AD245" s="1204">
        <f t="shared" si="100"/>
        <v>0.48511980165357727</v>
      </c>
      <c r="AE245" s="634"/>
      <c r="AF245" s="656"/>
    </row>
    <row r="246" spans="1:32" s="494" customFormat="1" ht="25.5">
      <c r="A246" s="384"/>
      <c r="B246" s="384"/>
      <c r="C246" s="421" t="s">
        <v>196</v>
      </c>
      <c r="D246" s="595" t="s">
        <v>66</v>
      </c>
      <c r="E246" s="595" t="s">
        <v>65</v>
      </c>
      <c r="F246" s="421">
        <v>22</v>
      </c>
      <c r="G246" s="421"/>
      <c r="H246" s="421"/>
      <c r="I246" s="1200" t="s">
        <v>1701</v>
      </c>
      <c r="J246" s="384" t="s">
        <v>1702</v>
      </c>
      <c r="K246" s="591">
        <v>1</v>
      </c>
      <c r="L246" s="1202">
        <v>60775312</v>
      </c>
      <c r="M246" s="1219">
        <v>1</v>
      </c>
      <c r="N246" s="681">
        <v>49697670</v>
      </c>
      <c r="O246" s="1219">
        <v>1</v>
      </c>
      <c r="P246" s="681">
        <v>48389770</v>
      </c>
      <c r="Q246" s="1214">
        <v>0.45</v>
      </c>
      <c r="R246" s="681">
        <v>24693000</v>
      </c>
      <c r="S246" s="1214"/>
      <c r="T246" s="1221"/>
      <c r="U246" s="1214"/>
      <c r="V246" s="1221"/>
      <c r="W246" s="1219"/>
      <c r="X246" s="1221"/>
      <c r="Y246" s="1214">
        <v>0</v>
      </c>
      <c r="Z246" s="1215">
        <v>0</v>
      </c>
      <c r="AA246" s="1214">
        <v>0</v>
      </c>
      <c r="AB246" s="1215">
        <f t="shared" si="99"/>
        <v>49697670</v>
      </c>
      <c r="AC246" s="1195">
        <f t="shared" si="100"/>
        <v>0</v>
      </c>
      <c r="AD246" s="1204">
        <f t="shared" si="100"/>
        <v>0.81772792873527334</v>
      </c>
      <c r="AE246" s="634"/>
      <c r="AF246" s="656"/>
    </row>
    <row r="247" spans="1:32" s="494" customFormat="1" ht="94.5" customHeight="1">
      <c r="A247" s="384"/>
      <c r="B247" s="384"/>
      <c r="C247" s="421" t="s">
        <v>196</v>
      </c>
      <c r="D247" s="595" t="s">
        <v>66</v>
      </c>
      <c r="E247" s="595" t="s">
        <v>65</v>
      </c>
      <c r="F247" s="421">
        <v>116</v>
      </c>
      <c r="G247" s="421"/>
      <c r="H247" s="384"/>
      <c r="I247" s="1222" t="s">
        <v>1703</v>
      </c>
      <c r="J247" s="1222"/>
      <c r="K247" s="1219">
        <v>1</v>
      </c>
      <c r="L247" s="1221">
        <v>1200000000</v>
      </c>
      <c r="M247" s="1219">
        <v>1</v>
      </c>
      <c r="N247" s="681">
        <v>1033047600</v>
      </c>
      <c r="O247" s="1219"/>
      <c r="P247" s="681"/>
      <c r="Q247" s="1214"/>
      <c r="R247" s="681"/>
      <c r="S247" s="1214"/>
      <c r="T247" s="1221"/>
      <c r="U247" s="1214"/>
      <c r="V247" s="1221"/>
      <c r="W247" s="1214"/>
      <c r="X247" s="1221"/>
      <c r="Y247" s="1214"/>
      <c r="Z247" s="1215"/>
      <c r="AA247" s="1214">
        <v>0</v>
      </c>
      <c r="AB247" s="1215">
        <f t="shared" si="99"/>
        <v>1033047600</v>
      </c>
      <c r="AC247" s="1214">
        <f t="shared" si="100"/>
        <v>0</v>
      </c>
      <c r="AD247" s="1223">
        <f t="shared" si="100"/>
        <v>0.860873</v>
      </c>
      <c r="AE247" s="634"/>
      <c r="AF247" s="656"/>
    </row>
    <row r="248" spans="1:32" s="494" customFormat="1" ht="31.5" customHeight="1">
      <c r="A248" s="384"/>
      <c r="B248" s="384"/>
      <c r="C248" s="421" t="s">
        <v>196</v>
      </c>
      <c r="D248" s="595" t="s">
        <v>66</v>
      </c>
      <c r="E248" s="595" t="s">
        <v>65</v>
      </c>
      <c r="F248" s="421">
        <v>118</v>
      </c>
      <c r="G248" s="421"/>
      <c r="H248" s="384"/>
      <c r="I248" s="1277" t="s">
        <v>1704</v>
      </c>
      <c r="J248" s="1222"/>
      <c r="K248" s="591">
        <v>1</v>
      </c>
      <c r="L248" s="1202">
        <v>218865100</v>
      </c>
      <c r="M248" s="591">
        <v>1</v>
      </c>
      <c r="N248" s="590">
        <v>214674600</v>
      </c>
      <c r="O248" s="1219"/>
      <c r="P248" s="681"/>
      <c r="Q248" s="1214"/>
      <c r="R248" s="681"/>
      <c r="S248" s="1214"/>
      <c r="T248" s="1221"/>
      <c r="U248" s="1214"/>
      <c r="V248" s="1221"/>
      <c r="W248" s="1214"/>
      <c r="X248" s="1221"/>
      <c r="Y248" s="1214"/>
      <c r="Z248" s="1215"/>
      <c r="AA248" s="1214">
        <v>0</v>
      </c>
      <c r="AB248" s="1215">
        <f t="shared" si="99"/>
        <v>214674600</v>
      </c>
      <c r="AC248" s="1195">
        <f t="shared" si="100"/>
        <v>0</v>
      </c>
      <c r="AD248" s="1204">
        <f t="shared" si="100"/>
        <v>0.98085350291115392</v>
      </c>
      <c r="AE248" s="634"/>
    </row>
    <row r="249" spans="1:32" s="494" customFormat="1" ht="45" customHeight="1">
      <c r="A249" s="384"/>
      <c r="B249" s="384"/>
      <c r="C249" s="421" t="s">
        <v>196</v>
      </c>
      <c r="D249" s="595" t="s">
        <v>66</v>
      </c>
      <c r="E249" s="595" t="s">
        <v>65</v>
      </c>
      <c r="F249" s="421">
        <v>119</v>
      </c>
      <c r="G249" s="421"/>
      <c r="H249" s="384"/>
      <c r="I249" s="1222" t="s">
        <v>1705</v>
      </c>
      <c r="J249" s="1222" t="s">
        <v>1706</v>
      </c>
      <c r="K249" s="591">
        <v>1</v>
      </c>
      <c r="L249" s="1202">
        <v>904000000</v>
      </c>
      <c r="M249" s="591">
        <v>1</v>
      </c>
      <c r="N249" s="590">
        <v>797019936</v>
      </c>
      <c r="O249" s="1225"/>
      <c r="P249" s="681"/>
      <c r="Q249" s="1214"/>
      <c r="R249" s="681"/>
      <c r="S249" s="1214"/>
      <c r="T249" s="1221"/>
      <c r="U249" s="1214"/>
      <c r="V249" s="1221"/>
      <c r="W249" s="1214"/>
      <c r="X249" s="1221"/>
      <c r="Y249" s="1214"/>
      <c r="Z249" s="1215"/>
      <c r="AA249" s="1214">
        <v>0</v>
      </c>
      <c r="AB249" s="1215">
        <f t="shared" si="99"/>
        <v>797019936</v>
      </c>
      <c r="AC249" s="1195">
        <f t="shared" si="100"/>
        <v>0</v>
      </c>
      <c r="AD249" s="1204">
        <f t="shared" si="100"/>
        <v>0.88165922123893803</v>
      </c>
      <c r="AE249" s="634"/>
    </row>
    <row r="250" spans="1:32" s="494" customFormat="1" ht="33.75" customHeight="1">
      <c r="A250" s="384"/>
      <c r="B250" s="384"/>
      <c r="C250" s="421" t="s">
        <v>196</v>
      </c>
      <c r="D250" s="595" t="s">
        <v>66</v>
      </c>
      <c r="E250" s="595" t="s">
        <v>65</v>
      </c>
      <c r="F250" s="421">
        <v>120</v>
      </c>
      <c r="G250" s="421"/>
      <c r="H250" s="384"/>
      <c r="I250" s="1222" t="s">
        <v>1707</v>
      </c>
      <c r="J250" s="384" t="s">
        <v>1708</v>
      </c>
      <c r="K250" s="591">
        <v>1</v>
      </c>
      <c r="L250" s="1202">
        <v>200000000</v>
      </c>
      <c r="M250" s="591">
        <v>1</v>
      </c>
      <c r="N250" s="590">
        <v>189735300</v>
      </c>
      <c r="O250" s="1225"/>
      <c r="P250" s="681"/>
      <c r="Q250" s="1214"/>
      <c r="R250" s="681"/>
      <c r="S250" s="1214"/>
      <c r="T250" s="1221"/>
      <c r="U250" s="1214"/>
      <c r="V250" s="1221"/>
      <c r="W250" s="1214"/>
      <c r="X250" s="1221"/>
      <c r="Y250" s="1214"/>
      <c r="Z250" s="1215"/>
      <c r="AA250" s="1214">
        <v>0</v>
      </c>
      <c r="AB250" s="1215">
        <f t="shared" si="99"/>
        <v>189735300</v>
      </c>
      <c r="AC250" s="1195">
        <f t="shared" si="100"/>
        <v>0</v>
      </c>
      <c r="AD250" s="1204">
        <f t="shared" si="100"/>
        <v>0.94867650000000003</v>
      </c>
      <c r="AE250" s="634"/>
    </row>
    <row r="251" spans="1:32" s="494" customFormat="1" ht="58.5" customHeight="1">
      <c r="A251" s="384"/>
      <c r="B251" s="384"/>
      <c r="C251" s="421" t="s">
        <v>196</v>
      </c>
      <c r="D251" s="595" t="s">
        <v>66</v>
      </c>
      <c r="E251" s="595" t="s">
        <v>65</v>
      </c>
      <c r="F251" s="421">
        <v>122</v>
      </c>
      <c r="G251" s="421"/>
      <c r="H251" s="384"/>
      <c r="I251" s="1222" t="s">
        <v>1709</v>
      </c>
      <c r="J251" s="1224"/>
      <c r="K251" s="591">
        <v>1</v>
      </c>
      <c r="L251" s="1202">
        <v>200000000</v>
      </c>
      <c r="M251" s="591">
        <v>1</v>
      </c>
      <c r="N251" s="590">
        <v>199503140</v>
      </c>
      <c r="O251" s="1225"/>
      <c r="P251" s="681"/>
      <c r="Q251" s="1214"/>
      <c r="R251" s="681"/>
      <c r="S251" s="1214"/>
      <c r="T251" s="1221"/>
      <c r="U251" s="1214"/>
      <c r="V251" s="1221"/>
      <c r="W251" s="1214"/>
      <c r="X251" s="1226"/>
      <c r="Y251" s="1214"/>
      <c r="Z251" s="1215"/>
      <c r="AA251" s="1214">
        <v>0</v>
      </c>
      <c r="AB251" s="1215">
        <f t="shared" si="99"/>
        <v>199503140</v>
      </c>
      <c r="AC251" s="1195">
        <f t="shared" si="100"/>
        <v>0</v>
      </c>
      <c r="AD251" s="1204">
        <f t="shared" si="100"/>
        <v>0.99751570000000001</v>
      </c>
      <c r="AE251" s="634"/>
    </row>
    <row r="252" spans="1:32" s="494" customFormat="1" ht="41.25" customHeight="1">
      <c r="A252" s="384"/>
      <c r="B252" s="384"/>
      <c r="C252" s="421" t="s">
        <v>196</v>
      </c>
      <c r="D252" s="595" t="s">
        <v>66</v>
      </c>
      <c r="E252" s="595" t="s">
        <v>65</v>
      </c>
      <c r="F252" s="421">
        <v>123</v>
      </c>
      <c r="G252" s="421"/>
      <c r="H252" s="384"/>
      <c r="I252" s="1222" t="s">
        <v>1710</v>
      </c>
      <c r="J252" s="1224"/>
      <c r="K252" s="591">
        <v>1</v>
      </c>
      <c r="L252" s="1202">
        <v>208118140</v>
      </c>
      <c r="M252" s="591">
        <v>1</v>
      </c>
      <c r="N252" s="590">
        <v>207718140</v>
      </c>
      <c r="O252" s="1225"/>
      <c r="P252" s="681"/>
      <c r="Q252" s="1214"/>
      <c r="R252" s="681"/>
      <c r="S252" s="1214"/>
      <c r="T252" s="1221"/>
      <c r="U252" s="1214"/>
      <c r="V252" s="1221"/>
      <c r="W252" s="1214"/>
      <c r="X252" s="1221"/>
      <c r="Y252" s="1214"/>
      <c r="Z252" s="1215"/>
      <c r="AA252" s="1214">
        <v>0</v>
      </c>
      <c r="AB252" s="1215">
        <f t="shared" ref="AB252:AB262" si="101">N252+Z252</f>
        <v>207718140</v>
      </c>
      <c r="AC252" s="1195">
        <f t="shared" ref="AC252:AD262" si="102">AA252/K252*100%</f>
        <v>0</v>
      </c>
      <c r="AD252" s="1204">
        <f t="shared" si="102"/>
        <v>0.9980780147275965</v>
      </c>
      <c r="AE252" s="634"/>
    </row>
    <row r="253" spans="1:32" s="494" customFormat="1" ht="25.5">
      <c r="A253" s="384"/>
      <c r="B253" s="384"/>
      <c r="C253" s="421" t="s">
        <v>196</v>
      </c>
      <c r="D253" s="595" t="s">
        <v>66</v>
      </c>
      <c r="E253" s="595" t="s">
        <v>65</v>
      </c>
      <c r="F253" s="421">
        <v>21</v>
      </c>
      <c r="G253" s="421"/>
      <c r="H253" s="421"/>
      <c r="I253" s="1200" t="s">
        <v>1711</v>
      </c>
      <c r="J253" s="384" t="s">
        <v>1708</v>
      </c>
      <c r="K253" s="591">
        <v>1</v>
      </c>
      <c r="L253" s="1202">
        <v>261939978</v>
      </c>
      <c r="M253" s="1214">
        <v>0</v>
      </c>
      <c r="N253" s="681">
        <v>0</v>
      </c>
      <c r="O253" s="1219">
        <v>1</v>
      </c>
      <c r="P253" s="681">
        <v>261939978</v>
      </c>
      <c r="Q253" s="1214">
        <v>0.4</v>
      </c>
      <c r="R253" s="681">
        <v>839978</v>
      </c>
      <c r="S253" s="1214"/>
      <c r="T253" s="1221"/>
      <c r="U253" s="1214"/>
      <c r="V253" s="1221"/>
      <c r="W253" s="1219"/>
      <c r="X253" s="1221"/>
      <c r="Y253" s="1214">
        <f t="shared" ref="Y253:Z254" si="103">Q253+S253+U253+W253</f>
        <v>0.4</v>
      </c>
      <c r="Z253" s="1215">
        <f t="shared" si="103"/>
        <v>839978</v>
      </c>
      <c r="AA253" s="1214">
        <f t="shared" ref="AA253:AA262" si="104">M253+Y253</f>
        <v>0.4</v>
      </c>
      <c r="AB253" s="1215">
        <f t="shared" si="101"/>
        <v>839978</v>
      </c>
      <c r="AC253" s="1195">
        <f t="shared" si="102"/>
        <v>0.4</v>
      </c>
      <c r="AD253" s="1204">
        <f t="shared" si="102"/>
        <v>3.2067575419892566E-3</v>
      </c>
      <c r="AE253" s="634"/>
      <c r="AF253" s="656"/>
    </row>
    <row r="254" spans="1:32" s="494" customFormat="1" ht="25.5">
      <c r="A254" s="384"/>
      <c r="B254" s="384"/>
      <c r="C254" s="421" t="s">
        <v>196</v>
      </c>
      <c r="D254" s="595" t="s">
        <v>66</v>
      </c>
      <c r="E254" s="595" t="s">
        <v>65</v>
      </c>
      <c r="F254" s="421">
        <v>42</v>
      </c>
      <c r="G254" s="421"/>
      <c r="H254" s="421"/>
      <c r="I254" s="1200" t="s">
        <v>1712</v>
      </c>
      <c r="J254" s="384" t="s">
        <v>1702</v>
      </c>
      <c r="K254" s="600">
        <v>1</v>
      </c>
      <c r="L254" s="1202">
        <v>3800000000</v>
      </c>
      <c r="M254" s="1214">
        <v>0</v>
      </c>
      <c r="N254" s="681">
        <v>0</v>
      </c>
      <c r="O254" s="1219">
        <v>1</v>
      </c>
      <c r="P254" s="681">
        <v>3721905745</v>
      </c>
      <c r="Q254" s="1214">
        <v>0</v>
      </c>
      <c r="R254" s="681">
        <v>13014361</v>
      </c>
      <c r="S254" s="1214"/>
      <c r="T254" s="1221"/>
      <c r="U254" s="1214"/>
      <c r="V254" s="1221"/>
      <c r="W254" s="1219"/>
      <c r="X254" s="1221"/>
      <c r="Y254" s="1214">
        <f t="shared" si="103"/>
        <v>0</v>
      </c>
      <c r="Z254" s="1215">
        <f t="shared" si="103"/>
        <v>13014361</v>
      </c>
      <c r="AA254" s="1214">
        <f t="shared" si="104"/>
        <v>0</v>
      </c>
      <c r="AB254" s="1215">
        <f t="shared" si="101"/>
        <v>13014361</v>
      </c>
      <c r="AC254" s="1195">
        <f t="shared" si="102"/>
        <v>0</v>
      </c>
      <c r="AD254" s="1204">
        <f t="shared" si="102"/>
        <v>3.4248318421052633E-3</v>
      </c>
      <c r="AE254" s="634"/>
      <c r="AF254" s="656"/>
    </row>
    <row r="255" spans="1:32" s="494" customFormat="1" ht="13.5" customHeight="1">
      <c r="A255" s="2398" t="s">
        <v>89</v>
      </c>
      <c r="B255" s="2398"/>
      <c r="C255" s="2398"/>
      <c r="D255" s="2398"/>
      <c r="E255" s="2398"/>
      <c r="F255" s="2398"/>
      <c r="G255" s="2398"/>
      <c r="H255" s="2398"/>
      <c r="I255" s="2398"/>
      <c r="J255" s="2398"/>
      <c r="K255" s="2398"/>
      <c r="L255" s="2398"/>
      <c r="M255" s="2398"/>
      <c r="N255" s="2398"/>
      <c r="O255" s="2398"/>
      <c r="P255" s="2398"/>
      <c r="Q255" s="2398"/>
      <c r="R255" s="2398"/>
      <c r="S255" s="2398"/>
      <c r="T255" s="2398"/>
      <c r="U255" s="2398"/>
      <c r="V255" s="2398"/>
      <c r="W255" s="2398"/>
      <c r="X255" s="2398"/>
      <c r="Y255" s="2398"/>
      <c r="Z255" s="2398"/>
      <c r="AA255" s="2398"/>
      <c r="AB255" s="2398"/>
      <c r="AC255" s="1195">
        <f>AVERAGE(AC237:AC254)</f>
        <v>0.67371512481644646</v>
      </c>
      <c r="AD255" s="1195">
        <f>AD236</f>
        <v>1.7065216166027903</v>
      </c>
      <c r="AE255" s="384"/>
    </row>
    <row r="256" spans="1:32" s="494" customFormat="1">
      <c r="A256" s="2398" t="s">
        <v>1679</v>
      </c>
      <c r="B256" s="2398"/>
      <c r="C256" s="2398"/>
      <c r="D256" s="2398"/>
      <c r="E256" s="2398"/>
      <c r="F256" s="2398"/>
      <c r="G256" s="2398"/>
      <c r="H256" s="2398"/>
      <c r="I256" s="2398"/>
      <c r="J256" s="2398"/>
      <c r="K256" s="2398"/>
      <c r="L256" s="2398"/>
      <c r="M256" s="2398"/>
      <c r="N256" s="2398"/>
      <c r="O256" s="2398"/>
      <c r="P256" s="2398"/>
      <c r="Q256" s="2398"/>
      <c r="R256" s="2398"/>
      <c r="S256" s="2398"/>
      <c r="T256" s="2398"/>
      <c r="U256" s="2398"/>
      <c r="V256" s="2398"/>
      <c r="W256" s="2398"/>
      <c r="X256" s="2398"/>
      <c r="Y256" s="2398"/>
      <c r="Z256" s="2398"/>
      <c r="AA256" s="2398"/>
      <c r="AB256" s="2398"/>
      <c r="AC256" s="384"/>
      <c r="AD256" s="384"/>
      <c r="AE256" s="384"/>
    </row>
    <row r="257" spans="1:31" s="145" customFormat="1" ht="39.75" customHeight="1">
      <c r="A257" s="753">
        <v>3</v>
      </c>
      <c r="B257" s="383"/>
      <c r="C257" s="623" t="s">
        <v>196</v>
      </c>
      <c r="D257" s="623" t="s">
        <v>66</v>
      </c>
      <c r="E257" s="623" t="s">
        <v>161</v>
      </c>
      <c r="F257" s="623"/>
      <c r="G257" s="623"/>
      <c r="H257" s="383"/>
      <c r="I257" s="618" t="s">
        <v>1713</v>
      </c>
      <c r="J257" s="618" t="s">
        <v>1714</v>
      </c>
      <c r="K257" s="1190">
        <v>1</v>
      </c>
      <c r="L257" s="1191">
        <f>L258</f>
        <v>103680000</v>
      </c>
      <c r="M257" s="1192">
        <v>1</v>
      </c>
      <c r="N257" s="1227">
        <f>N258</f>
        <v>84487876</v>
      </c>
      <c r="O257" s="1192"/>
      <c r="P257" s="1228"/>
      <c r="Q257" s="1229"/>
      <c r="R257" s="628"/>
      <c r="S257" s="1193"/>
      <c r="T257" s="629"/>
      <c r="U257" s="1193"/>
      <c r="V257" s="1230"/>
      <c r="W257" s="1193"/>
      <c r="X257" s="1227"/>
      <c r="Y257" s="1195"/>
      <c r="Z257" s="1196"/>
      <c r="AA257" s="1214">
        <f t="shared" si="104"/>
        <v>1</v>
      </c>
      <c r="AB257" s="1215">
        <f t="shared" si="101"/>
        <v>84487876</v>
      </c>
      <c r="AC257" s="1195">
        <f t="shared" si="102"/>
        <v>1</v>
      </c>
      <c r="AD257" s="1204">
        <f t="shared" si="102"/>
        <v>0.81489077932098763</v>
      </c>
      <c r="AE257" s="657" t="s">
        <v>1042</v>
      </c>
    </row>
    <row r="258" spans="1:31" s="494" customFormat="1" ht="30.75" customHeight="1">
      <c r="A258" s="384"/>
      <c r="B258" s="384"/>
      <c r="C258" s="421"/>
      <c r="D258" s="421"/>
      <c r="E258" s="421"/>
      <c r="F258" s="421" t="s">
        <v>66</v>
      </c>
      <c r="G258" s="421"/>
      <c r="H258" s="384"/>
      <c r="I258" s="1200" t="s">
        <v>1224</v>
      </c>
      <c r="J258" s="384" t="s">
        <v>1715</v>
      </c>
      <c r="K258" s="591">
        <v>1</v>
      </c>
      <c r="L258" s="1231">
        <v>103680000</v>
      </c>
      <c r="M258" s="591">
        <v>1</v>
      </c>
      <c r="N258" s="590">
        <v>84487876</v>
      </c>
      <c r="O258" s="591"/>
      <c r="P258" s="1232"/>
      <c r="Q258" s="591"/>
      <c r="R258" s="590"/>
      <c r="S258" s="1195"/>
      <c r="T258" s="1196"/>
      <c r="U258" s="1193"/>
      <c r="V258" s="1230"/>
      <c r="W258" s="1195"/>
      <c r="X258" s="1202"/>
      <c r="Y258" s="1214"/>
      <c r="Z258" s="1215"/>
      <c r="AA258" s="1214">
        <f t="shared" si="104"/>
        <v>1</v>
      </c>
      <c r="AB258" s="1215">
        <f t="shared" si="101"/>
        <v>84487876</v>
      </c>
      <c r="AC258" s="1195">
        <f t="shared" si="102"/>
        <v>1</v>
      </c>
      <c r="AD258" s="1204">
        <f t="shared" si="102"/>
        <v>0.81489077932098763</v>
      </c>
      <c r="AE258" s="384"/>
    </row>
    <row r="259" spans="1:31" s="494" customFormat="1" ht="18" customHeight="1">
      <c r="A259" s="2398" t="s">
        <v>89</v>
      </c>
      <c r="B259" s="2398"/>
      <c r="C259" s="2398"/>
      <c r="D259" s="2398"/>
      <c r="E259" s="2398"/>
      <c r="F259" s="2398"/>
      <c r="G259" s="2398"/>
      <c r="H259" s="2398"/>
      <c r="I259" s="2398"/>
      <c r="J259" s="2398"/>
      <c r="K259" s="2398"/>
      <c r="L259" s="2398"/>
      <c r="M259" s="2398"/>
      <c r="N259" s="2398"/>
      <c r="O259" s="2398"/>
      <c r="P259" s="2398"/>
      <c r="Q259" s="2398"/>
      <c r="R259" s="2398"/>
      <c r="S259" s="2398"/>
      <c r="T259" s="2398"/>
      <c r="U259" s="2398"/>
      <c r="V259" s="2398"/>
      <c r="W259" s="2398"/>
      <c r="X259" s="2398"/>
      <c r="Y259" s="2398"/>
      <c r="Z259" s="2398"/>
      <c r="AA259" s="2398"/>
      <c r="AB259" s="2398"/>
      <c r="AC259" s="1195">
        <f>AVERAGE(AC258)</f>
        <v>1</v>
      </c>
      <c r="AD259" s="1195">
        <f>AD257</f>
        <v>0.81489077932098763</v>
      </c>
      <c r="AE259" s="384"/>
    </row>
    <row r="260" spans="1:31" s="494" customFormat="1">
      <c r="A260" s="2398" t="s">
        <v>1679</v>
      </c>
      <c r="B260" s="2398"/>
      <c r="C260" s="2398"/>
      <c r="D260" s="2398"/>
      <c r="E260" s="2398"/>
      <c r="F260" s="2398"/>
      <c r="G260" s="2398"/>
      <c r="H260" s="2398"/>
      <c r="I260" s="2398"/>
      <c r="J260" s="2398"/>
      <c r="K260" s="2398"/>
      <c r="L260" s="2398"/>
      <c r="M260" s="2398"/>
      <c r="N260" s="2398"/>
      <c r="O260" s="2398"/>
      <c r="P260" s="2398"/>
      <c r="Q260" s="2398"/>
      <c r="R260" s="2398"/>
      <c r="S260" s="2398"/>
      <c r="T260" s="2398"/>
      <c r="U260" s="2398"/>
      <c r="V260" s="2398"/>
      <c r="W260" s="2398"/>
      <c r="X260" s="2398"/>
      <c r="Y260" s="2398"/>
      <c r="Z260" s="2398"/>
      <c r="AA260" s="2398"/>
      <c r="AB260" s="2398"/>
      <c r="AC260" s="384"/>
      <c r="AD260" s="384"/>
      <c r="AE260" s="384"/>
    </row>
    <row r="261" spans="1:31" s="145" customFormat="1" ht="36" customHeight="1">
      <c r="A261" s="753">
        <v>4</v>
      </c>
      <c r="B261" s="383"/>
      <c r="C261" s="623" t="s">
        <v>196</v>
      </c>
      <c r="D261" s="623" t="s">
        <v>66</v>
      </c>
      <c r="E261" s="623" t="s">
        <v>196</v>
      </c>
      <c r="F261" s="623"/>
      <c r="G261" s="623"/>
      <c r="H261" s="383"/>
      <c r="I261" s="383" t="s">
        <v>1716</v>
      </c>
      <c r="J261" s="618" t="s">
        <v>1717</v>
      </c>
      <c r="K261" s="1190">
        <v>1</v>
      </c>
      <c r="L261" s="1191">
        <f>L262</f>
        <v>50000000</v>
      </c>
      <c r="M261" s="1192">
        <f>M262</f>
        <v>1</v>
      </c>
      <c r="N261" s="1227">
        <f>N262</f>
        <v>38998000</v>
      </c>
      <c r="O261" s="1192">
        <v>1</v>
      </c>
      <c r="P261" s="1233">
        <f t="shared" ref="P261" si="105">P262</f>
        <v>55600000</v>
      </c>
      <c r="Q261" s="1193">
        <f>Q262</f>
        <v>0.5</v>
      </c>
      <c r="R261" s="628">
        <f>R262</f>
        <v>35600000</v>
      </c>
      <c r="S261" s="1193"/>
      <c r="T261" s="629"/>
      <c r="U261" s="1193"/>
      <c r="V261" s="629"/>
      <c r="W261" s="1195"/>
      <c r="X261" s="1227"/>
      <c r="Y261" s="1214">
        <f t="shared" ref="Y261:Z262" si="106">Q261+S261+U261+W261</f>
        <v>0.5</v>
      </c>
      <c r="Z261" s="1215">
        <f t="shared" si="106"/>
        <v>35600000</v>
      </c>
      <c r="AA261" s="1214">
        <f t="shared" si="104"/>
        <v>1.5</v>
      </c>
      <c r="AB261" s="1215">
        <f t="shared" si="101"/>
        <v>74598000</v>
      </c>
      <c r="AC261" s="1195">
        <f t="shared" si="102"/>
        <v>1.5</v>
      </c>
      <c r="AD261" s="1204">
        <f t="shared" si="102"/>
        <v>1.49196</v>
      </c>
      <c r="AE261" s="657" t="s">
        <v>1042</v>
      </c>
    </row>
    <row r="262" spans="1:31" s="494" customFormat="1" ht="38.25" customHeight="1">
      <c r="A262" s="384"/>
      <c r="B262" s="384"/>
      <c r="C262" s="421" t="s">
        <v>196</v>
      </c>
      <c r="D262" s="421" t="s">
        <v>66</v>
      </c>
      <c r="E262" s="421" t="s">
        <v>196</v>
      </c>
      <c r="F262" s="421" t="s">
        <v>196</v>
      </c>
      <c r="G262" s="421"/>
      <c r="H262" s="421"/>
      <c r="I262" s="1234" t="s">
        <v>1718</v>
      </c>
      <c r="J262" s="384" t="s">
        <v>1719</v>
      </c>
      <c r="K262" s="591">
        <v>1</v>
      </c>
      <c r="L262" s="1231">
        <v>50000000</v>
      </c>
      <c r="M262" s="591">
        <v>1</v>
      </c>
      <c r="N262" s="590">
        <v>38998000</v>
      </c>
      <c r="O262" s="591">
        <v>1</v>
      </c>
      <c r="P262" s="1232">
        <v>55600000</v>
      </c>
      <c r="Q262" s="1195">
        <v>0.5</v>
      </c>
      <c r="R262" s="590">
        <v>35600000</v>
      </c>
      <c r="S262" s="1195"/>
      <c r="T262" s="1196"/>
      <c r="U262" s="1195"/>
      <c r="V262" s="1196"/>
      <c r="W262" s="1195"/>
      <c r="X262" s="1202"/>
      <c r="Y262" s="1214">
        <f t="shared" si="106"/>
        <v>0.5</v>
      </c>
      <c r="Z262" s="1215">
        <f t="shared" si="106"/>
        <v>35600000</v>
      </c>
      <c r="AA262" s="1214">
        <f t="shared" si="104"/>
        <v>1.5</v>
      </c>
      <c r="AB262" s="1215">
        <f t="shared" si="101"/>
        <v>74598000</v>
      </c>
      <c r="AC262" s="1195">
        <f t="shared" si="102"/>
        <v>1.5</v>
      </c>
      <c r="AD262" s="1204">
        <f t="shared" si="102"/>
        <v>1.49196</v>
      </c>
      <c r="AE262" s="384"/>
    </row>
    <row r="263" spans="1:31" s="494" customFormat="1" ht="17.25" customHeight="1">
      <c r="A263" s="2398" t="s">
        <v>89</v>
      </c>
      <c r="B263" s="2398"/>
      <c r="C263" s="2398"/>
      <c r="D263" s="2398"/>
      <c r="E263" s="2398"/>
      <c r="F263" s="2398"/>
      <c r="G263" s="2398"/>
      <c r="H263" s="2398"/>
      <c r="I263" s="2398"/>
      <c r="J263" s="2398"/>
      <c r="K263" s="2398"/>
      <c r="L263" s="2398"/>
      <c r="M263" s="2398"/>
      <c r="N263" s="2398"/>
      <c r="O263" s="2398"/>
      <c r="P263" s="2398"/>
      <c r="Q263" s="2398"/>
      <c r="R263" s="2398"/>
      <c r="S263" s="2398"/>
      <c r="T263" s="2398"/>
      <c r="U263" s="2398"/>
      <c r="V263" s="2398"/>
      <c r="W263" s="2398"/>
      <c r="X263" s="2398"/>
      <c r="Y263" s="2398"/>
      <c r="Z263" s="2398"/>
      <c r="AA263" s="2398"/>
      <c r="AB263" s="2398"/>
      <c r="AC263" s="1195">
        <f>AVERAGE(AC262)</f>
        <v>1.5</v>
      </c>
      <c r="AD263" s="1195">
        <f>AD261</f>
        <v>1.49196</v>
      </c>
      <c r="AE263" s="384"/>
    </row>
    <row r="264" spans="1:31" s="494" customFormat="1">
      <c r="A264" s="2398" t="s">
        <v>1679</v>
      </c>
      <c r="B264" s="2398"/>
      <c r="C264" s="2398"/>
      <c r="D264" s="2398"/>
      <c r="E264" s="2398"/>
      <c r="F264" s="2398"/>
      <c r="G264" s="2398"/>
      <c r="H264" s="2398"/>
      <c r="I264" s="2398"/>
      <c r="J264" s="2398"/>
      <c r="K264" s="2398"/>
      <c r="L264" s="2398"/>
      <c r="M264" s="2398"/>
      <c r="N264" s="2398"/>
      <c r="O264" s="2398"/>
      <c r="P264" s="2398"/>
      <c r="Q264" s="2398"/>
      <c r="R264" s="2398"/>
      <c r="S264" s="2398"/>
      <c r="T264" s="2398"/>
      <c r="U264" s="2398"/>
      <c r="V264" s="2398"/>
      <c r="W264" s="2398"/>
      <c r="X264" s="2398"/>
      <c r="Y264" s="2398"/>
      <c r="Z264" s="2398"/>
      <c r="AA264" s="2398"/>
      <c r="AB264" s="2398"/>
      <c r="AC264" s="384"/>
      <c r="AD264" s="384"/>
      <c r="AE264" s="384"/>
    </row>
    <row r="265" spans="1:31" s="498" customFormat="1" ht="129.75" customHeight="1">
      <c r="A265" s="1236">
        <v>5</v>
      </c>
      <c r="B265" s="383" t="s">
        <v>1680</v>
      </c>
      <c r="C265" s="623" t="s">
        <v>66</v>
      </c>
      <c r="D265" s="623" t="s">
        <v>196</v>
      </c>
      <c r="E265" s="623" t="s">
        <v>66</v>
      </c>
      <c r="F265" s="383">
        <v>26</v>
      </c>
      <c r="G265" s="383"/>
      <c r="H265" s="383"/>
      <c r="I265" s="1237" t="s">
        <v>1720</v>
      </c>
      <c r="J265" s="1237" t="s">
        <v>1721</v>
      </c>
      <c r="K265" s="1238">
        <v>1</v>
      </c>
      <c r="L265" s="693">
        <f>SUM(L266:L270)</f>
        <v>64089556355</v>
      </c>
      <c r="M265" s="1239"/>
      <c r="N265" s="1210">
        <f>SUM(N266:N270)</f>
        <v>687500</v>
      </c>
      <c r="O265" s="1240">
        <v>1</v>
      </c>
      <c r="P265" s="1210">
        <f>SUM(P266:P270)</f>
        <v>63646800305</v>
      </c>
      <c r="Q265" s="1241"/>
      <c r="R265" s="1213"/>
      <c r="S265" s="1239"/>
      <c r="T265" s="1242"/>
      <c r="U265" s="1212"/>
      <c r="V265" s="1210"/>
      <c r="W265" s="1212"/>
      <c r="X265" s="1210"/>
      <c r="Y265" s="1214">
        <f t="shared" ref="Y265:Z270" si="107">Q265+S265+U265+W265</f>
        <v>0</v>
      </c>
      <c r="Z265" s="1215">
        <f t="shared" si="107"/>
        <v>0</v>
      </c>
      <c r="AA265" s="1212">
        <f t="shared" ref="AA265:AB278" si="108">M265+Y265</f>
        <v>0</v>
      </c>
      <c r="AB265" s="1211">
        <f t="shared" si="108"/>
        <v>687500</v>
      </c>
      <c r="AC265" s="1212">
        <f>AA265/K265*100%</f>
        <v>0</v>
      </c>
      <c r="AD265" s="1212">
        <f>AB265/L265*100%</f>
        <v>1.0727176767956579E-5</v>
      </c>
      <c r="AE265" s="657" t="s">
        <v>1042</v>
      </c>
    </row>
    <row r="266" spans="1:31" s="494" customFormat="1" ht="33" customHeight="1">
      <c r="A266" s="384"/>
      <c r="B266" s="1200"/>
      <c r="C266" s="421" t="s">
        <v>66</v>
      </c>
      <c r="D266" s="421" t="s">
        <v>196</v>
      </c>
      <c r="E266" s="421" t="s">
        <v>66</v>
      </c>
      <c r="F266" s="421">
        <v>26</v>
      </c>
      <c r="G266" s="384">
        <v>20</v>
      </c>
      <c r="H266" s="1243"/>
      <c r="I266" s="1234" t="s">
        <v>1722</v>
      </c>
      <c r="J266" s="1244" t="s">
        <v>1723</v>
      </c>
      <c r="K266" s="1238">
        <v>1</v>
      </c>
      <c r="L266" s="668">
        <v>378411000</v>
      </c>
      <c r="M266" s="1195">
        <v>0.1321</v>
      </c>
      <c r="N266" s="708"/>
      <c r="O266" s="591"/>
      <c r="P266" s="590">
        <v>0</v>
      </c>
      <c r="Q266" s="1195"/>
      <c r="R266" s="590"/>
      <c r="S266" s="1195"/>
      <c r="T266" s="1202"/>
      <c r="U266" s="1212"/>
      <c r="V266" s="1221"/>
      <c r="W266" s="1212"/>
      <c r="X266" s="1221"/>
      <c r="Y266" s="1214">
        <f t="shared" si="107"/>
        <v>0</v>
      </c>
      <c r="Z266" s="1215">
        <f t="shared" si="107"/>
        <v>0</v>
      </c>
      <c r="AA266" s="1214">
        <f t="shared" si="108"/>
        <v>0.1321</v>
      </c>
      <c r="AB266" s="1215">
        <f t="shared" si="108"/>
        <v>0</v>
      </c>
      <c r="AC266" s="1214">
        <f t="shared" ref="AC266:AD278" si="109">AA266/K266*100%</f>
        <v>0.1321</v>
      </c>
      <c r="AD266" s="1214">
        <f t="shared" si="109"/>
        <v>0</v>
      </c>
      <c r="AE266" s="384" t="s">
        <v>1724</v>
      </c>
    </row>
    <row r="267" spans="1:31" s="494" customFormat="1" ht="34.5" customHeight="1">
      <c r="A267" s="384"/>
      <c r="B267" s="384"/>
      <c r="C267" s="421" t="s">
        <v>66</v>
      </c>
      <c r="D267" s="421" t="s">
        <v>196</v>
      </c>
      <c r="E267" s="421" t="s">
        <v>66</v>
      </c>
      <c r="F267" s="421">
        <v>26</v>
      </c>
      <c r="G267" s="384">
        <v>78</v>
      </c>
      <c r="H267" s="384"/>
      <c r="I267" s="1222" t="s">
        <v>1725</v>
      </c>
      <c r="J267" s="384" t="s">
        <v>1726</v>
      </c>
      <c r="K267" s="1238">
        <v>1</v>
      </c>
      <c r="L267" s="1202">
        <v>226293805</v>
      </c>
      <c r="M267" s="591">
        <v>0.8</v>
      </c>
      <c r="N267" s="590"/>
      <c r="O267" s="591">
        <v>1</v>
      </c>
      <c r="P267" s="590">
        <v>226293805</v>
      </c>
      <c r="Q267" s="1195">
        <v>0.8</v>
      </c>
      <c r="R267" s="590">
        <v>0</v>
      </c>
      <c r="S267" s="1195"/>
      <c r="T267" s="1202"/>
      <c r="U267" s="1195"/>
      <c r="V267" s="1202"/>
      <c r="W267" s="1195"/>
      <c r="X267" s="1202"/>
      <c r="Y267" s="1214">
        <f t="shared" si="107"/>
        <v>0.8</v>
      </c>
      <c r="Z267" s="1215">
        <f t="shared" si="107"/>
        <v>0</v>
      </c>
      <c r="AA267" s="1195">
        <f t="shared" si="108"/>
        <v>1.6</v>
      </c>
      <c r="AB267" s="1215">
        <f t="shared" si="108"/>
        <v>0</v>
      </c>
      <c r="AC267" s="1214">
        <f t="shared" si="109"/>
        <v>1.6</v>
      </c>
      <c r="AD267" s="1214">
        <f t="shared" si="109"/>
        <v>0</v>
      </c>
      <c r="AE267" s="384" t="s">
        <v>1724</v>
      </c>
    </row>
    <row r="268" spans="1:31" s="494" customFormat="1" ht="42.75" customHeight="1">
      <c r="A268" s="384"/>
      <c r="B268" s="384"/>
      <c r="C268" s="421" t="s">
        <v>66</v>
      </c>
      <c r="D268" s="421" t="s">
        <v>196</v>
      </c>
      <c r="E268" s="421" t="s">
        <v>66</v>
      </c>
      <c r="F268" s="421">
        <v>26</v>
      </c>
      <c r="G268" s="384">
        <v>79</v>
      </c>
      <c r="H268" s="384"/>
      <c r="I268" s="1222" t="s">
        <v>1727</v>
      </c>
      <c r="J268" s="1222" t="s">
        <v>1728</v>
      </c>
      <c r="K268" s="1238">
        <v>1</v>
      </c>
      <c r="L268" s="1202">
        <v>64345050</v>
      </c>
      <c r="M268" s="591">
        <v>0</v>
      </c>
      <c r="N268" s="590">
        <v>687500</v>
      </c>
      <c r="O268" s="591"/>
      <c r="P268" s="590">
        <v>0</v>
      </c>
      <c r="Q268" s="1195"/>
      <c r="R268" s="590"/>
      <c r="S268" s="1195"/>
      <c r="T268" s="1202"/>
      <c r="U268" s="1195"/>
      <c r="V268" s="1202"/>
      <c r="W268" s="1195"/>
      <c r="X268" s="1202"/>
      <c r="Y268" s="1214">
        <f t="shared" si="107"/>
        <v>0</v>
      </c>
      <c r="Z268" s="1215">
        <f t="shared" si="107"/>
        <v>0</v>
      </c>
      <c r="AA268" s="1195">
        <f t="shared" si="108"/>
        <v>0</v>
      </c>
      <c r="AB268" s="1215">
        <f t="shared" si="108"/>
        <v>687500</v>
      </c>
      <c r="AC268" s="1214">
        <f t="shared" si="109"/>
        <v>0</v>
      </c>
      <c r="AD268" s="1214">
        <f t="shared" si="109"/>
        <v>1.068458257472797E-2</v>
      </c>
      <c r="AE268" s="384" t="s">
        <v>1724</v>
      </c>
    </row>
    <row r="269" spans="1:31" s="494" customFormat="1" ht="39.75" customHeight="1">
      <c r="A269" s="384"/>
      <c r="B269" s="384"/>
      <c r="C269" s="421" t="s">
        <v>66</v>
      </c>
      <c r="D269" s="421" t="s">
        <v>196</v>
      </c>
      <c r="E269" s="421" t="s">
        <v>66</v>
      </c>
      <c r="F269" s="421">
        <v>26</v>
      </c>
      <c r="G269" s="384">
        <v>80</v>
      </c>
      <c r="H269" s="384"/>
      <c r="I269" s="1222" t="s">
        <v>1729</v>
      </c>
      <c r="J269" s="384" t="s">
        <v>1730</v>
      </c>
      <c r="K269" s="1238">
        <v>1</v>
      </c>
      <c r="L269" s="1202">
        <v>383121500</v>
      </c>
      <c r="M269" s="591">
        <v>1</v>
      </c>
      <c r="N269" s="590"/>
      <c r="O269" s="591">
        <v>1</v>
      </c>
      <c r="P269" s="590">
        <v>383121500</v>
      </c>
      <c r="Q269" s="1195">
        <v>1</v>
      </c>
      <c r="R269" s="590">
        <v>0</v>
      </c>
      <c r="S269" s="1195"/>
      <c r="T269" s="1202"/>
      <c r="U269" s="1195"/>
      <c r="V269" s="1202"/>
      <c r="W269" s="1195"/>
      <c r="X269" s="1202"/>
      <c r="Y269" s="1214">
        <f t="shared" si="107"/>
        <v>1</v>
      </c>
      <c r="Z269" s="1215">
        <f t="shared" si="107"/>
        <v>0</v>
      </c>
      <c r="AA269" s="1195">
        <f t="shared" si="108"/>
        <v>2</v>
      </c>
      <c r="AB269" s="1215">
        <f t="shared" si="108"/>
        <v>0</v>
      </c>
      <c r="AC269" s="1214">
        <f t="shared" si="109"/>
        <v>2</v>
      </c>
      <c r="AD269" s="1214">
        <f t="shared" si="109"/>
        <v>0</v>
      </c>
      <c r="AE269" s="384" t="s">
        <v>1731</v>
      </c>
    </row>
    <row r="270" spans="1:31" s="494" customFormat="1" ht="36" customHeight="1">
      <c r="A270" s="384"/>
      <c r="B270" s="384"/>
      <c r="C270" s="421" t="s">
        <v>66</v>
      </c>
      <c r="D270" s="421" t="s">
        <v>196</v>
      </c>
      <c r="E270" s="421" t="s">
        <v>66</v>
      </c>
      <c r="F270" s="421">
        <v>26</v>
      </c>
      <c r="G270" s="384">
        <v>56</v>
      </c>
      <c r="H270" s="384"/>
      <c r="I270" s="1222" t="s">
        <v>1732</v>
      </c>
      <c r="J270" s="1222" t="s">
        <v>1733</v>
      </c>
      <c r="K270" s="1238">
        <v>1</v>
      </c>
      <c r="L270" s="1202">
        <v>63037385000</v>
      </c>
      <c r="M270" s="1195">
        <v>0.70099999999999996</v>
      </c>
      <c r="N270" s="708"/>
      <c r="O270" s="591">
        <v>1</v>
      </c>
      <c r="P270" s="590">
        <v>63037385000</v>
      </c>
      <c r="Q270" s="1195">
        <v>0.70099999999999996</v>
      </c>
      <c r="R270" s="590">
        <v>0</v>
      </c>
      <c r="S270" s="1195"/>
      <c r="T270" s="1202"/>
      <c r="U270" s="1195"/>
      <c r="V270" s="1202"/>
      <c r="W270" s="1195"/>
      <c r="X270" s="1202"/>
      <c r="Y270" s="1214">
        <f t="shared" si="107"/>
        <v>0.70099999999999996</v>
      </c>
      <c r="Z270" s="1215">
        <f t="shared" si="107"/>
        <v>0</v>
      </c>
      <c r="AA270" s="1195">
        <f t="shared" si="108"/>
        <v>1.4019999999999999</v>
      </c>
      <c r="AB270" s="1215">
        <f t="shared" si="108"/>
        <v>0</v>
      </c>
      <c r="AC270" s="1214">
        <f t="shared" si="109"/>
        <v>1.4019999999999999</v>
      </c>
      <c r="AD270" s="1214">
        <f t="shared" si="109"/>
        <v>0</v>
      </c>
      <c r="AE270" s="384" t="s">
        <v>1731</v>
      </c>
    </row>
    <row r="271" spans="1:31" s="494" customFormat="1" ht="19.5" customHeight="1">
      <c r="A271" s="2398" t="s">
        <v>89</v>
      </c>
      <c r="B271" s="2398"/>
      <c r="C271" s="2398"/>
      <c r="D271" s="2398"/>
      <c r="E271" s="2398"/>
      <c r="F271" s="2398"/>
      <c r="G271" s="2398"/>
      <c r="H271" s="2398"/>
      <c r="I271" s="2398"/>
      <c r="J271" s="2398"/>
      <c r="K271" s="2398"/>
      <c r="L271" s="2398"/>
      <c r="M271" s="2398"/>
      <c r="N271" s="2398"/>
      <c r="O271" s="2398"/>
      <c r="P271" s="2398"/>
      <c r="Q271" s="2398"/>
      <c r="R271" s="2398"/>
      <c r="S271" s="2398"/>
      <c r="T271" s="2398"/>
      <c r="U271" s="2398"/>
      <c r="V271" s="2398"/>
      <c r="W271" s="2398"/>
      <c r="X271" s="2398"/>
      <c r="Y271" s="2398"/>
      <c r="Z271" s="2398"/>
      <c r="AA271" s="2398"/>
      <c r="AB271" s="2398"/>
      <c r="AC271" s="1195">
        <f>AVERAGE(AC266:AC270)</f>
        <v>1.0268200000000001</v>
      </c>
      <c r="AD271" s="1195">
        <f>AD265</f>
        <v>1.0727176767956579E-5</v>
      </c>
      <c r="AE271" s="384"/>
    </row>
    <row r="272" spans="1:31" s="494" customFormat="1">
      <c r="A272" s="2398" t="s">
        <v>1679</v>
      </c>
      <c r="B272" s="2398"/>
      <c r="C272" s="2398"/>
      <c r="D272" s="2398"/>
      <c r="E272" s="2398"/>
      <c r="F272" s="2398"/>
      <c r="G272" s="2398"/>
      <c r="H272" s="2398"/>
      <c r="I272" s="2398"/>
      <c r="J272" s="2398"/>
      <c r="K272" s="2398"/>
      <c r="L272" s="2398"/>
      <c r="M272" s="2398"/>
      <c r="N272" s="2398"/>
      <c r="O272" s="2398"/>
      <c r="P272" s="2398"/>
      <c r="Q272" s="2398"/>
      <c r="R272" s="2398"/>
      <c r="S272" s="2398"/>
      <c r="T272" s="2398"/>
      <c r="U272" s="2398"/>
      <c r="V272" s="2398"/>
      <c r="W272" s="2398"/>
      <c r="X272" s="2398"/>
      <c r="Y272" s="2398"/>
      <c r="Z272" s="2398"/>
      <c r="AA272" s="2398"/>
      <c r="AB272" s="2398"/>
      <c r="AC272" s="384"/>
      <c r="AD272" s="384"/>
      <c r="AE272" s="384"/>
    </row>
    <row r="273" spans="1:31" s="498" customFormat="1" ht="50.25" customHeight="1">
      <c r="A273" s="2071">
        <v>6</v>
      </c>
      <c r="B273" s="1237"/>
      <c r="C273" s="623" t="s">
        <v>66</v>
      </c>
      <c r="D273" s="623" t="s">
        <v>196</v>
      </c>
      <c r="E273" s="623" t="s">
        <v>66</v>
      </c>
      <c r="F273" s="383">
        <v>16</v>
      </c>
      <c r="G273" s="383"/>
      <c r="H273" s="383"/>
      <c r="I273" s="1237" t="s">
        <v>1734</v>
      </c>
      <c r="J273" s="1245" t="s">
        <v>1735</v>
      </c>
      <c r="K273" s="1238">
        <v>1</v>
      </c>
      <c r="L273" s="692">
        <f>SUM(L274:L276)</f>
        <v>3150000000</v>
      </c>
      <c r="M273" s="1240">
        <v>1</v>
      </c>
      <c r="N273" s="1210">
        <f>SUM(N274:N276)</f>
        <v>1325811910</v>
      </c>
      <c r="O273" s="1219">
        <v>1</v>
      </c>
      <c r="P273" s="1211">
        <f>SUM(P274:P278)</f>
        <v>2240132605</v>
      </c>
      <c r="Q273" s="1241">
        <v>0.03</v>
      </c>
      <c r="R273" s="1213">
        <f>R275+R277+R278</f>
        <v>7944921</v>
      </c>
      <c r="S273" s="1239"/>
      <c r="T273" s="1242"/>
      <c r="U273" s="1212"/>
      <c r="V273" s="1210"/>
      <c r="W273" s="1212"/>
      <c r="X273" s="1210"/>
      <c r="Y273" s="1214">
        <v>0</v>
      </c>
      <c r="Z273" s="1215">
        <v>0</v>
      </c>
      <c r="AA273" s="1212">
        <f t="shared" ref="AA273:AA278" si="110">M273+Y273</f>
        <v>1</v>
      </c>
      <c r="AB273" s="1215">
        <f t="shared" si="108"/>
        <v>1325811910</v>
      </c>
      <c r="AC273" s="1212">
        <f t="shared" si="109"/>
        <v>1</v>
      </c>
      <c r="AD273" s="1212">
        <f t="shared" si="109"/>
        <v>0.42089266984126983</v>
      </c>
      <c r="AE273" s="657" t="s">
        <v>1042</v>
      </c>
    </row>
    <row r="274" spans="1:31" s="494" customFormat="1" ht="51">
      <c r="A274" s="384"/>
      <c r="B274" s="1200"/>
      <c r="C274" s="421" t="s">
        <v>66</v>
      </c>
      <c r="D274" s="421" t="s">
        <v>196</v>
      </c>
      <c r="E274" s="421" t="s">
        <v>66</v>
      </c>
      <c r="F274" s="421">
        <v>16</v>
      </c>
      <c r="G274" s="421" t="s">
        <v>196</v>
      </c>
      <c r="H274" s="1243"/>
      <c r="I274" s="1244" t="s">
        <v>1736</v>
      </c>
      <c r="J274" s="1244" t="s">
        <v>1737</v>
      </c>
      <c r="K274" s="1238">
        <v>1</v>
      </c>
      <c r="L274" s="1246">
        <v>2500000000</v>
      </c>
      <c r="M274" s="591">
        <v>1</v>
      </c>
      <c r="N274" s="590">
        <v>1009682760</v>
      </c>
      <c r="O274" s="591"/>
      <c r="P274" s="590"/>
      <c r="Q274" s="1195"/>
      <c r="R274" s="590"/>
      <c r="S274" s="1195"/>
      <c r="T274" s="1202"/>
      <c r="U274" s="1212"/>
      <c r="V274" s="1221"/>
      <c r="W274" s="1212"/>
      <c r="X274" s="1221"/>
      <c r="Y274" s="1214"/>
      <c r="Z274" s="1215"/>
      <c r="AA274" s="1214">
        <f t="shared" si="110"/>
        <v>1</v>
      </c>
      <c r="AB274" s="1215">
        <f t="shared" si="108"/>
        <v>1009682760</v>
      </c>
      <c r="AC274" s="1214">
        <f t="shared" si="109"/>
        <v>1</v>
      </c>
      <c r="AD274" s="1214">
        <f t="shared" si="109"/>
        <v>0.40387310399999998</v>
      </c>
      <c r="AE274" s="384"/>
    </row>
    <row r="275" spans="1:31" s="494" customFormat="1" ht="36" customHeight="1">
      <c r="A275" s="384"/>
      <c r="B275" s="384"/>
      <c r="C275" s="421" t="s">
        <v>66</v>
      </c>
      <c r="D275" s="421" t="s">
        <v>196</v>
      </c>
      <c r="E275" s="421" t="s">
        <v>66</v>
      </c>
      <c r="F275" s="421">
        <v>16</v>
      </c>
      <c r="G275" s="1247">
        <v>29</v>
      </c>
      <c r="H275" s="421"/>
      <c r="I275" s="1200" t="s">
        <v>1738</v>
      </c>
      <c r="J275" s="1200" t="s">
        <v>1739</v>
      </c>
      <c r="K275" s="1238">
        <v>1</v>
      </c>
      <c r="L275" s="1202">
        <v>550000000</v>
      </c>
      <c r="M275" s="591">
        <v>1</v>
      </c>
      <c r="N275" s="590">
        <v>288895980</v>
      </c>
      <c r="O275" s="591">
        <v>1</v>
      </c>
      <c r="P275" s="590">
        <v>397250297</v>
      </c>
      <c r="Q275" s="1195">
        <v>0.05</v>
      </c>
      <c r="R275" s="590">
        <v>3914172</v>
      </c>
      <c r="S275" s="1195"/>
      <c r="T275" s="1202"/>
      <c r="U275" s="1195"/>
      <c r="V275" s="1202"/>
      <c r="W275" s="1195"/>
      <c r="X275" s="1202"/>
      <c r="Y275" s="1214">
        <v>0</v>
      </c>
      <c r="Z275" s="1215">
        <v>0</v>
      </c>
      <c r="AA275" s="1214">
        <f t="shared" si="110"/>
        <v>1</v>
      </c>
      <c r="AB275" s="1215">
        <f t="shared" si="108"/>
        <v>288895980</v>
      </c>
      <c r="AC275" s="1214">
        <f t="shared" si="109"/>
        <v>1</v>
      </c>
      <c r="AD275" s="1214">
        <f t="shared" si="109"/>
        <v>0.52526541818181816</v>
      </c>
      <c r="AE275" s="384"/>
    </row>
    <row r="276" spans="1:31" s="494" customFormat="1" ht="40.5" customHeight="1">
      <c r="A276" s="384"/>
      <c r="B276" s="384"/>
      <c r="C276" s="421"/>
      <c r="D276" s="421"/>
      <c r="E276" s="421"/>
      <c r="F276" s="421"/>
      <c r="G276" s="384"/>
      <c r="H276" s="384"/>
      <c r="I276" s="1200" t="s">
        <v>1740</v>
      </c>
      <c r="J276" s="384" t="s">
        <v>1741</v>
      </c>
      <c r="K276" s="1238">
        <v>1</v>
      </c>
      <c r="L276" s="1202">
        <v>100000000</v>
      </c>
      <c r="M276" s="591">
        <v>1</v>
      </c>
      <c r="N276" s="590">
        <v>27233170</v>
      </c>
      <c r="O276" s="591"/>
      <c r="P276" s="590"/>
      <c r="Q276" s="1195"/>
      <c r="R276" s="590"/>
      <c r="S276" s="1195"/>
      <c r="T276" s="1202"/>
      <c r="U276" s="1195"/>
      <c r="V276" s="1202"/>
      <c r="W276" s="1195"/>
      <c r="X276" s="1202"/>
      <c r="Y276" s="1214"/>
      <c r="Z276" s="1215"/>
      <c r="AA276" s="1214">
        <f t="shared" si="110"/>
        <v>1</v>
      </c>
      <c r="AB276" s="1215">
        <f t="shared" si="108"/>
        <v>27233170</v>
      </c>
      <c r="AC276" s="1214">
        <f t="shared" si="109"/>
        <v>1</v>
      </c>
      <c r="AD276" s="1214">
        <f t="shared" si="109"/>
        <v>0.27233170000000001</v>
      </c>
      <c r="AE276" s="384"/>
    </row>
    <row r="277" spans="1:31" s="494" customFormat="1" ht="51">
      <c r="A277" s="384"/>
      <c r="B277" s="1200"/>
      <c r="C277" s="421" t="s">
        <v>66</v>
      </c>
      <c r="D277" s="421" t="s">
        <v>196</v>
      </c>
      <c r="E277" s="421" t="s">
        <v>66</v>
      </c>
      <c r="F277" s="421">
        <v>16</v>
      </c>
      <c r="G277" s="421" t="s">
        <v>196</v>
      </c>
      <c r="H277" s="421"/>
      <c r="I277" s="1244" t="s">
        <v>1742</v>
      </c>
      <c r="J277" s="1244" t="s">
        <v>1743</v>
      </c>
      <c r="K277" s="1238">
        <v>1</v>
      </c>
      <c r="L277" s="1246">
        <v>1800000000</v>
      </c>
      <c r="M277" s="591">
        <f>-M106</f>
        <v>-1250</v>
      </c>
      <c r="N277" s="590">
        <v>0</v>
      </c>
      <c r="O277" s="591">
        <v>1</v>
      </c>
      <c r="P277" s="590">
        <v>1731404675</v>
      </c>
      <c r="Q277" s="1195">
        <v>0.02</v>
      </c>
      <c r="R277" s="590">
        <v>4030749</v>
      </c>
      <c r="S277" s="1195"/>
      <c r="T277" s="1202"/>
      <c r="U277" s="1212"/>
      <c r="V277" s="1221"/>
      <c r="W277" s="1212"/>
      <c r="X277" s="1221"/>
      <c r="Y277" s="1214">
        <v>0</v>
      </c>
      <c r="Z277" s="1215">
        <f t="shared" ref="Z277:Z278" si="111">R277+T277+V277+X277</f>
        <v>4030749</v>
      </c>
      <c r="AA277" s="1214">
        <f t="shared" si="110"/>
        <v>-1250</v>
      </c>
      <c r="AB277" s="1215">
        <f t="shared" si="108"/>
        <v>4030749</v>
      </c>
      <c r="AC277" s="1214">
        <f t="shared" si="109"/>
        <v>-1250</v>
      </c>
      <c r="AD277" s="1214">
        <f t="shared" si="109"/>
        <v>2.239305E-3</v>
      </c>
      <c r="AE277" s="384"/>
    </row>
    <row r="278" spans="1:31" s="494" customFormat="1" ht="25.5">
      <c r="A278" s="384"/>
      <c r="B278" s="1200"/>
      <c r="C278" s="421" t="s">
        <v>66</v>
      </c>
      <c r="D278" s="421" t="s">
        <v>196</v>
      </c>
      <c r="E278" s="421" t="s">
        <v>66</v>
      </c>
      <c r="F278" s="421">
        <v>16</v>
      </c>
      <c r="G278" s="421" t="s">
        <v>66</v>
      </c>
      <c r="H278" s="421"/>
      <c r="I278" s="1244" t="s">
        <v>1744</v>
      </c>
      <c r="J278" s="384" t="s">
        <v>1741</v>
      </c>
      <c r="K278" s="1238">
        <v>1</v>
      </c>
      <c r="L278" s="1246">
        <v>100000000</v>
      </c>
      <c r="M278" s="591">
        <f>-M107</f>
        <v>0</v>
      </c>
      <c r="N278" s="590">
        <v>0</v>
      </c>
      <c r="O278" s="591">
        <v>1</v>
      </c>
      <c r="P278" s="590">
        <v>111477633</v>
      </c>
      <c r="Q278" s="1195">
        <v>0</v>
      </c>
      <c r="R278" s="590">
        <v>0</v>
      </c>
      <c r="S278" s="1195"/>
      <c r="T278" s="1202"/>
      <c r="U278" s="1212"/>
      <c r="V278" s="1221"/>
      <c r="W278" s="1212"/>
      <c r="X278" s="1221"/>
      <c r="Y278" s="1214">
        <v>0</v>
      </c>
      <c r="Z278" s="1215">
        <f t="shared" si="111"/>
        <v>0</v>
      </c>
      <c r="AA278" s="1214">
        <f t="shared" si="110"/>
        <v>0</v>
      </c>
      <c r="AB278" s="1215">
        <f t="shared" si="108"/>
        <v>0</v>
      </c>
      <c r="AC278" s="1214">
        <f t="shared" si="109"/>
        <v>0</v>
      </c>
      <c r="AD278" s="1214">
        <f t="shared" si="109"/>
        <v>0</v>
      </c>
      <c r="AE278" s="384"/>
    </row>
    <row r="279" spans="1:31" s="494" customFormat="1" ht="27.75" customHeight="1">
      <c r="A279" s="2398" t="s">
        <v>89</v>
      </c>
      <c r="B279" s="2398"/>
      <c r="C279" s="2398"/>
      <c r="D279" s="2398"/>
      <c r="E279" s="2398"/>
      <c r="F279" s="2398"/>
      <c r="G279" s="2398"/>
      <c r="H279" s="2398"/>
      <c r="I279" s="2398"/>
      <c r="J279" s="2398"/>
      <c r="K279" s="2398"/>
      <c r="L279" s="2398"/>
      <c r="M279" s="2398"/>
      <c r="N279" s="2398"/>
      <c r="O279" s="2398"/>
      <c r="P279" s="2398"/>
      <c r="Q279" s="2398"/>
      <c r="R279" s="2398"/>
      <c r="S279" s="2398"/>
      <c r="T279" s="2398"/>
      <c r="U279" s="2398"/>
      <c r="V279" s="2398"/>
      <c r="W279" s="2398"/>
      <c r="X279" s="2398"/>
      <c r="Y279" s="2398"/>
      <c r="Z279" s="2398"/>
      <c r="AA279" s="2398"/>
      <c r="AB279" s="2398"/>
      <c r="AC279" s="1195">
        <f>AVERAGE(AC274:AC278)</f>
        <v>-249.4</v>
      </c>
      <c r="AD279" s="1195">
        <f>AD273</f>
        <v>0.42089266984126983</v>
      </c>
      <c r="AE279" s="384"/>
    </row>
    <row r="280" spans="1:31" s="494" customFormat="1">
      <c r="A280" s="2398" t="s">
        <v>1679</v>
      </c>
      <c r="B280" s="2398"/>
      <c r="C280" s="2398"/>
      <c r="D280" s="2398"/>
      <c r="E280" s="2398"/>
      <c r="F280" s="2398"/>
      <c r="G280" s="2398"/>
      <c r="H280" s="2398"/>
      <c r="I280" s="2398"/>
      <c r="J280" s="2398"/>
      <c r="K280" s="2398"/>
      <c r="L280" s="2398"/>
      <c r="M280" s="2398"/>
      <c r="N280" s="2398"/>
      <c r="O280" s="2398"/>
      <c r="P280" s="2398"/>
      <c r="Q280" s="2398"/>
      <c r="R280" s="2398"/>
      <c r="S280" s="2398"/>
      <c r="T280" s="2398"/>
      <c r="U280" s="2398"/>
      <c r="V280" s="2398"/>
      <c r="W280" s="2398"/>
      <c r="X280" s="2398"/>
      <c r="Y280" s="2398"/>
      <c r="Z280" s="2398"/>
      <c r="AA280" s="2398"/>
      <c r="AB280" s="2398"/>
      <c r="AC280" s="384"/>
      <c r="AD280" s="384"/>
      <c r="AE280" s="384"/>
    </row>
    <row r="281" spans="1:31" s="494" customFormat="1">
      <c r="A281" s="384"/>
      <c r="B281" s="384"/>
      <c r="C281" s="384"/>
      <c r="D281" s="384"/>
      <c r="E281" s="384"/>
      <c r="F281" s="384"/>
      <c r="G281" s="384"/>
      <c r="H281" s="384"/>
      <c r="I281" s="1248"/>
      <c r="J281" s="384"/>
      <c r="K281" s="384"/>
      <c r="L281" s="384"/>
      <c r="M281" s="384"/>
      <c r="N281" s="384"/>
      <c r="O281" s="384"/>
      <c r="P281" s="384"/>
      <c r="Q281" s="384"/>
      <c r="R281" s="590"/>
      <c r="S281" s="384"/>
      <c r="T281" s="384"/>
      <c r="U281" s="384"/>
      <c r="V281" s="384"/>
      <c r="W281" s="384"/>
      <c r="X281" s="384"/>
      <c r="Y281" s="384"/>
      <c r="Z281" s="384"/>
      <c r="AA281" s="384"/>
      <c r="AB281" s="384"/>
      <c r="AC281" s="384"/>
      <c r="AD281" s="384"/>
      <c r="AE281" s="384"/>
    </row>
    <row r="282" spans="1:31" s="498" customFormat="1" ht="60" customHeight="1">
      <c r="A282" s="383">
        <v>7</v>
      </c>
      <c r="B282" s="383" t="s">
        <v>1745</v>
      </c>
      <c r="C282" s="623" t="s">
        <v>66</v>
      </c>
      <c r="D282" s="623" t="s">
        <v>196</v>
      </c>
      <c r="E282" s="623" t="s">
        <v>66</v>
      </c>
      <c r="F282" s="383">
        <v>18</v>
      </c>
      <c r="G282" s="383"/>
      <c r="H282" s="383"/>
      <c r="I282" s="1237" t="s">
        <v>1746</v>
      </c>
      <c r="J282" s="1249" t="s">
        <v>1747</v>
      </c>
      <c r="K282" s="1238">
        <v>1</v>
      </c>
      <c r="L282" s="693">
        <f>SUM(L283:L287)</f>
        <v>39450000000</v>
      </c>
      <c r="M282" s="1250">
        <v>0.99990000000000001</v>
      </c>
      <c r="N282" s="1213">
        <f>SUM(N283:N287)</f>
        <v>17067009697</v>
      </c>
      <c r="O282" s="1250">
        <v>1</v>
      </c>
      <c r="P282" s="1213">
        <f>SUM(P283:P287)</f>
        <v>8450847422</v>
      </c>
      <c r="Q282" s="1212">
        <v>0.13</v>
      </c>
      <c r="R282" s="1213">
        <f>R283+R284+R287</f>
        <v>837903000</v>
      </c>
      <c r="S282" s="1239"/>
      <c r="T282" s="1242"/>
      <c r="U282" s="1239"/>
      <c r="V282" s="1242"/>
      <c r="W282" s="1239"/>
      <c r="X282" s="1210"/>
      <c r="Y282" s="1214">
        <f>Q282+S282+U282+W282</f>
        <v>0.13</v>
      </c>
      <c r="Z282" s="1215">
        <f>R282+T282+V282+X282</f>
        <v>837903000</v>
      </c>
      <c r="AA282" s="1251">
        <f>M282+Y282</f>
        <v>1.1299000000000001</v>
      </c>
      <c r="AB282" s="1211">
        <f>N282+Z282</f>
        <v>17904912697</v>
      </c>
      <c r="AC282" s="1212">
        <f>AA282/K282*100%</f>
        <v>1.1299000000000001</v>
      </c>
      <c r="AD282" s="1212">
        <f>AB282/L282*100%</f>
        <v>0.45386343972116605</v>
      </c>
      <c r="AE282" s="657" t="s">
        <v>1042</v>
      </c>
    </row>
    <row r="283" spans="1:31" s="494" customFormat="1" ht="23.25" customHeight="1">
      <c r="A283" s="384"/>
      <c r="B283" s="384"/>
      <c r="C283" s="368" t="s">
        <v>66</v>
      </c>
      <c r="D283" s="368" t="s">
        <v>196</v>
      </c>
      <c r="E283" s="368" t="s">
        <v>66</v>
      </c>
      <c r="F283" s="383">
        <v>18</v>
      </c>
      <c r="G283" s="383">
        <v>56</v>
      </c>
      <c r="H283" s="383"/>
      <c r="I283" s="1200" t="s">
        <v>1748</v>
      </c>
      <c r="J283" s="1200" t="s">
        <v>1749</v>
      </c>
      <c r="K283" s="1252">
        <v>1</v>
      </c>
      <c r="L283" s="1202">
        <v>11700000000</v>
      </c>
      <c r="M283" s="1195">
        <v>1</v>
      </c>
      <c r="N283" s="590">
        <v>4150050750</v>
      </c>
      <c r="O283" s="591">
        <v>1</v>
      </c>
      <c r="P283" s="590">
        <v>3112168967</v>
      </c>
      <c r="Q283" s="1195">
        <v>0.25</v>
      </c>
      <c r="R283" s="590">
        <v>745070000</v>
      </c>
      <c r="S283" s="1195"/>
      <c r="T283" s="1202"/>
      <c r="U283" s="1195"/>
      <c r="V283" s="1202"/>
      <c r="W283" s="1253"/>
      <c r="X283" s="1202"/>
      <c r="Y283" s="1214">
        <f t="shared" ref="Y283:Z287" si="112">Q283+S283+U283+W283</f>
        <v>0.25</v>
      </c>
      <c r="Z283" s="1215">
        <f t="shared" si="112"/>
        <v>745070000</v>
      </c>
      <c r="AA283" s="1195">
        <f t="shared" ref="AA283:AB287" si="113">M283+Y283</f>
        <v>1.25</v>
      </c>
      <c r="AB283" s="1196">
        <f t="shared" si="113"/>
        <v>4895120750</v>
      </c>
      <c r="AC283" s="1214">
        <f t="shared" ref="AC283:AD311" si="114">AA283/K283*100%</f>
        <v>1.25</v>
      </c>
      <c r="AD283" s="1214">
        <f t="shared" si="114"/>
        <v>0.4183863888888889</v>
      </c>
      <c r="AE283" s="384"/>
    </row>
    <row r="284" spans="1:31" s="494" customFormat="1" ht="20.25" customHeight="1">
      <c r="A284" s="384"/>
      <c r="B284" s="384"/>
      <c r="C284" s="368" t="s">
        <v>66</v>
      </c>
      <c r="D284" s="368" t="s">
        <v>196</v>
      </c>
      <c r="E284" s="368" t="s">
        <v>66</v>
      </c>
      <c r="F284" s="383">
        <v>18</v>
      </c>
      <c r="G284" s="383">
        <v>69</v>
      </c>
      <c r="H284" s="383"/>
      <c r="I284" s="1200" t="s">
        <v>1750</v>
      </c>
      <c r="J284" s="1200" t="s">
        <v>1751</v>
      </c>
      <c r="K284" s="1252">
        <v>1</v>
      </c>
      <c r="L284" s="1202">
        <v>12750000000</v>
      </c>
      <c r="M284" s="1195">
        <v>1</v>
      </c>
      <c r="N284" s="590">
        <v>1395884400</v>
      </c>
      <c r="O284" s="591">
        <v>1</v>
      </c>
      <c r="P284" s="590">
        <v>737814953</v>
      </c>
      <c r="Q284" s="1195">
        <v>0.13</v>
      </c>
      <c r="R284" s="590">
        <v>92833000</v>
      </c>
      <c r="S284" s="1195"/>
      <c r="T284" s="1202"/>
      <c r="U284" s="1195"/>
      <c r="V284" s="1202"/>
      <c r="W284" s="1253"/>
      <c r="X284" s="1202"/>
      <c r="Y284" s="1214">
        <f t="shared" si="112"/>
        <v>0.13</v>
      </c>
      <c r="Z284" s="1215">
        <f t="shared" si="112"/>
        <v>92833000</v>
      </c>
      <c r="AA284" s="1195">
        <f t="shared" si="113"/>
        <v>1.1299999999999999</v>
      </c>
      <c r="AB284" s="1196">
        <f t="shared" si="113"/>
        <v>1488717400</v>
      </c>
      <c r="AC284" s="1214">
        <f t="shared" si="114"/>
        <v>1.1299999999999999</v>
      </c>
      <c r="AD284" s="1214">
        <f t="shared" si="114"/>
        <v>0.11676214901960784</v>
      </c>
      <c r="AE284" s="384"/>
    </row>
    <row r="285" spans="1:31" s="494" customFormat="1" ht="38.25">
      <c r="A285" s="384"/>
      <c r="B285" s="384"/>
      <c r="C285" s="368" t="s">
        <v>66</v>
      </c>
      <c r="D285" s="368" t="s">
        <v>196</v>
      </c>
      <c r="E285" s="368" t="s">
        <v>66</v>
      </c>
      <c r="F285" s="383">
        <v>18</v>
      </c>
      <c r="G285" s="384">
        <v>73</v>
      </c>
      <c r="H285" s="384"/>
      <c r="I285" s="1200" t="s">
        <v>1752</v>
      </c>
      <c r="J285" s="1200" t="s">
        <v>1749</v>
      </c>
      <c r="K285" s="1252">
        <v>1</v>
      </c>
      <c r="L285" s="1202">
        <v>8500000000</v>
      </c>
      <c r="M285" s="1195">
        <v>1</v>
      </c>
      <c r="N285" s="590">
        <v>6152397800</v>
      </c>
      <c r="O285" s="591"/>
      <c r="P285" s="590"/>
      <c r="Q285" s="1195"/>
      <c r="R285" s="681"/>
      <c r="S285" s="1214"/>
      <c r="T285" s="1221"/>
      <c r="U285" s="1214"/>
      <c r="V285" s="1221"/>
      <c r="W285" s="1254"/>
      <c r="X285" s="1221"/>
      <c r="Y285" s="1214">
        <f t="shared" si="112"/>
        <v>0</v>
      </c>
      <c r="Z285" s="1215">
        <f t="shared" si="112"/>
        <v>0</v>
      </c>
      <c r="AA285" s="1214">
        <f t="shared" si="113"/>
        <v>1</v>
      </c>
      <c r="AB285" s="1215">
        <f t="shared" si="113"/>
        <v>6152397800</v>
      </c>
      <c r="AC285" s="1214">
        <f t="shared" si="114"/>
        <v>1</v>
      </c>
      <c r="AD285" s="1214">
        <f t="shared" si="114"/>
        <v>0.72381150588235299</v>
      </c>
      <c r="AE285" s="384"/>
    </row>
    <row r="286" spans="1:31" s="494" customFormat="1" ht="25.5">
      <c r="A286" s="384"/>
      <c r="B286" s="384"/>
      <c r="C286" s="368" t="s">
        <v>66</v>
      </c>
      <c r="D286" s="368" t="s">
        <v>196</v>
      </c>
      <c r="E286" s="368" t="s">
        <v>66</v>
      </c>
      <c r="F286" s="383">
        <v>18</v>
      </c>
      <c r="G286" s="384">
        <v>77</v>
      </c>
      <c r="H286" s="384"/>
      <c r="I286" s="1200" t="s">
        <v>1753</v>
      </c>
      <c r="J286" s="1200" t="s">
        <v>1753</v>
      </c>
      <c r="K286" s="1252"/>
      <c r="L286" s="1202"/>
      <c r="M286" s="1195"/>
      <c r="N286" s="590"/>
      <c r="O286" s="591"/>
      <c r="P286" s="590"/>
      <c r="Q286" s="1195"/>
      <c r="R286" s="681"/>
      <c r="S286" s="1214"/>
      <c r="T286" s="1221"/>
      <c r="U286" s="1214"/>
      <c r="V286" s="1221"/>
      <c r="W286" s="1254"/>
      <c r="X286" s="1221"/>
      <c r="Y286" s="1214"/>
      <c r="Z286" s="1215"/>
      <c r="AA286" s="1214"/>
      <c r="AB286" s="1215"/>
      <c r="AC286" s="1214"/>
      <c r="AD286" s="1214"/>
      <c r="AE286" s="384"/>
    </row>
    <row r="287" spans="1:31" s="494" customFormat="1" ht="21.75" customHeight="1">
      <c r="A287" s="384"/>
      <c r="B287" s="384"/>
      <c r="C287" s="368" t="s">
        <v>66</v>
      </c>
      <c r="D287" s="368" t="s">
        <v>196</v>
      </c>
      <c r="E287" s="368" t="s">
        <v>66</v>
      </c>
      <c r="F287" s="383">
        <v>18</v>
      </c>
      <c r="G287" s="383">
        <v>74</v>
      </c>
      <c r="H287" s="383"/>
      <c r="I287" s="1200" t="s">
        <v>1754</v>
      </c>
      <c r="J287" s="1200" t="s">
        <v>1755</v>
      </c>
      <c r="K287" s="1252">
        <v>1</v>
      </c>
      <c r="L287" s="1202">
        <v>6500000000</v>
      </c>
      <c r="M287" s="1195">
        <v>0.93469999999999998</v>
      </c>
      <c r="N287" s="590">
        <v>5368676747</v>
      </c>
      <c r="O287" s="591">
        <v>1</v>
      </c>
      <c r="P287" s="590">
        <v>4600863502</v>
      </c>
      <c r="Q287" s="1195">
        <v>0</v>
      </c>
      <c r="R287" s="590">
        <v>0</v>
      </c>
      <c r="S287" s="1195"/>
      <c r="T287" s="1202"/>
      <c r="U287" s="1195"/>
      <c r="V287" s="1202"/>
      <c r="W287" s="1253"/>
      <c r="X287" s="1202"/>
      <c r="Y287" s="1214">
        <f t="shared" si="112"/>
        <v>0</v>
      </c>
      <c r="Z287" s="1215">
        <f t="shared" si="112"/>
        <v>0</v>
      </c>
      <c r="AA287" s="1195">
        <f t="shared" si="113"/>
        <v>0.93469999999999998</v>
      </c>
      <c r="AB287" s="1196">
        <f t="shared" si="113"/>
        <v>5368676747</v>
      </c>
      <c r="AC287" s="1214">
        <f t="shared" si="114"/>
        <v>0.93469999999999998</v>
      </c>
      <c r="AD287" s="1214">
        <f t="shared" si="114"/>
        <v>0.82595026876923072</v>
      </c>
      <c r="AE287" s="384"/>
    </row>
    <row r="288" spans="1:31" s="494" customFormat="1" ht="27.75" customHeight="1">
      <c r="A288" s="2398" t="s">
        <v>89</v>
      </c>
      <c r="B288" s="2398"/>
      <c r="C288" s="2398"/>
      <c r="D288" s="2398"/>
      <c r="E288" s="2398"/>
      <c r="F288" s="2398"/>
      <c r="G288" s="2398"/>
      <c r="H288" s="2398"/>
      <c r="I288" s="2398"/>
      <c r="J288" s="2398"/>
      <c r="K288" s="2398"/>
      <c r="L288" s="2398"/>
      <c r="M288" s="2398"/>
      <c r="N288" s="2398"/>
      <c r="O288" s="2398"/>
      <c r="P288" s="2398"/>
      <c r="Q288" s="2398"/>
      <c r="R288" s="2398"/>
      <c r="S288" s="2398"/>
      <c r="T288" s="2398"/>
      <c r="U288" s="2398"/>
      <c r="V288" s="2398"/>
      <c r="W288" s="2398"/>
      <c r="X288" s="2398"/>
      <c r="Y288" s="2398"/>
      <c r="Z288" s="2398"/>
      <c r="AA288" s="2398"/>
      <c r="AB288" s="2398"/>
      <c r="AC288" s="1195">
        <f>AVERAGE(AC283:AC287)</f>
        <v>1.0786750000000001</v>
      </c>
      <c r="AD288" s="1195">
        <f>AD282</f>
        <v>0.45386343972116605</v>
      </c>
      <c r="AE288" s="384"/>
    </row>
    <row r="289" spans="1:31" s="494" customFormat="1">
      <c r="A289" s="2398" t="s">
        <v>1679</v>
      </c>
      <c r="B289" s="2398"/>
      <c r="C289" s="2398"/>
      <c r="D289" s="2398"/>
      <c r="E289" s="2398"/>
      <c r="F289" s="2398"/>
      <c r="G289" s="2398"/>
      <c r="H289" s="2398"/>
      <c r="I289" s="2398"/>
      <c r="J289" s="2398"/>
      <c r="K289" s="2398"/>
      <c r="L289" s="2398"/>
      <c r="M289" s="2398"/>
      <c r="N289" s="2398"/>
      <c r="O289" s="2398"/>
      <c r="P289" s="2398"/>
      <c r="Q289" s="2398"/>
      <c r="R289" s="2398"/>
      <c r="S289" s="2398"/>
      <c r="T289" s="2398"/>
      <c r="U289" s="2398"/>
      <c r="V289" s="2398"/>
      <c r="W289" s="2398"/>
      <c r="X289" s="2398"/>
      <c r="Y289" s="2398"/>
      <c r="Z289" s="2398"/>
      <c r="AA289" s="2398"/>
      <c r="AB289" s="2398"/>
      <c r="AC289" s="384"/>
      <c r="AD289" s="384"/>
      <c r="AE289" s="384"/>
    </row>
    <row r="290" spans="1:31" s="494" customFormat="1">
      <c r="A290" s="384"/>
      <c r="B290" s="384"/>
      <c r="C290" s="384"/>
      <c r="D290" s="384"/>
      <c r="E290" s="384"/>
      <c r="F290" s="384"/>
      <c r="G290" s="384"/>
      <c r="H290" s="384"/>
      <c r="I290" s="1248"/>
      <c r="J290" s="384"/>
      <c r="K290" s="1252"/>
      <c r="L290" s="1202"/>
      <c r="M290" s="384"/>
      <c r="N290" s="384"/>
      <c r="O290" s="384"/>
      <c r="P290" s="384"/>
      <c r="Q290" s="384"/>
      <c r="R290" s="590"/>
      <c r="S290" s="384"/>
      <c r="T290" s="384"/>
      <c r="U290" s="384"/>
      <c r="V290" s="384"/>
      <c r="W290" s="384"/>
      <c r="X290" s="384"/>
      <c r="Y290" s="384"/>
      <c r="Z290" s="384"/>
      <c r="AA290" s="384"/>
      <c r="AB290" s="384"/>
      <c r="AC290" s="1219"/>
      <c r="AD290" s="1219"/>
      <c r="AE290" s="384"/>
    </row>
    <row r="291" spans="1:31" s="498" customFormat="1" ht="82.5" customHeight="1">
      <c r="A291" s="383">
        <v>8</v>
      </c>
      <c r="B291" s="383" t="s">
        <v>1680</v>
      </c>
      <c r="C291" s="623" t="s">
        <v>66</v>
      </c>
      <c r="D291" s="623" t="s">
        <v>196</v>
      </c>
      <c r="E291" s="623" t="s">
        <v>66</v>
      </c>
      <c r="F291" s="383">
        <v>29</v>
      </c>
      <c r="G291" s="383"/>
      <c r="H291" s="383"/>
      <c r="I291" s="1237" t="s">
        <v>1756</v>
      </c>
      <c r="J291" s="1237" t="s">
        <v>1757</v>
      </c>
      <c r="K291" s="591">
        <v>1</v>
      </c>
      <c r="L291" s="1227">
        <f>SUM(L292:L298)</f>
        <v>12047028000</v>
      </c>
      <c r="M291" s="1212">
        <v>1</v>
      </c>
      <c r="N291" s="1255">
        <f>SUM(N292:N298)</f>
        <v>2588355730</v>
      </c>
      <c r="O291" s="1212">
        <v>1</v>
      </c>
      <c r="P291" s="1211">
        <f>SUM(P292:P293)</f>
        <v>7098702294</v>
      </c>
      <c r="Q291" s="1212">
        <v>0.05</v>
      </c>
      <c r="R291" s="1211">
        <f>SUM(R292:R293)</f>
        <v>13526996</v>
      </c>
      <c r="S291" s="1239"/>
      <c r="T291" s="1242"/>
      <c r="U291" s="1239"/>
      <c r="V291" s="1242"/>
      <c r="W291" s="1212"/>
      <c r="X291" s="1210"/>
      <c r="Y291" s="1214">
        <f>Q291+S291+U291+W291</f>
        <v>0.05</v>
      </c>
      <c r="Z291" s="1215">
        <f>R291+T291+V291+X291</f>
        <v>13526996</v>
      </c>
      <c r="AA291" s="1212">
        <f>M291+Y291</f>
        <v>1.05</v>
      </c>
      <c r="AB291" s="1211">
        <f>N291+Z291</f>
        <v>2601882726</v>
      </c>
      <c r="AC291" s="1214">
        <f t="shared" si="114"/>
        <v>1.05</v>
      </c>
      <c r="AD291" s="1214">
        <f t="shared" si="114"/>
        <v>0.21597714606457294</v>
      </c>
      <c r="AE291" s="657" t="s">
        <v>1042</v>
      </c>
    </row>
    <row r="292" spans="1:31" s="494" customFormat="1" ht="51">
      <c r="A292" s="384"/>
      <c r="B292" s="384"/>
      <c r="C292" s="623" t="s">
        <v>66</v>
      </c>
      <c r="D292" s="623" t="s">
        <v>196</v>
      </c>
      <c r="E292" s="623" t="s">
        <v>66</v>
      </c>
      <c r="F292" s="383">
        <v>29</v>
      </c>
      <c r="G292" s="1256" t="s">
        <v>65</v>
      </c>
      <c r="H292" s="1256"/>
      <c r="I292" s="1200" t="s">
        <v>1758</v>
      </c>
      <c r="J292" s="1200" t="s">
        <v>1759</v>
      </c>
      <c r="K292" s="591">
        <v>1</v>
      </c>
      <c r="L292" s="1202">
        <v>5000000000</v>
      </c>
      <c r="M292" s="1195">
        <v>1</v>
      </c>
      <c r="N292" s="590">
        <v>462102200</v>
      </c>
      <c r="O292" s="1220" t="s">
        <v>1760</v>
      </c>
      <c r="P292" s="1257">
        <v>3662213211</v>
      </c>
      <c r="Q292" s="1214">
        <v>0.05</v>
      </c>
      <c r="R292" s="681">
        <v>9594622</v>
      </c>
      <c r="S292" s="1253"/>
      <c r="T292" s="1221"/>
      <c r="U292" s="1253"/>
      <c r="V292" s="1221"/>
      <c r="W292" s="1212"/>
      <c r="X292" s="1221"/>
      <c r="Y292" s="1214">
        <f>Q292+S292+U292+W292</f>
        <v>0.05</v>
      </c>
      <c r="Z292" s="1215">
        <f>R292+T292+V292+X292</f>
        <v>9594622</v>
      </c>
      <c r="AA292" s="1214">
        <f>M292+Y292</f>
        <v>1.05</v>
      </c>
      <c r="AB292" s="1215">
        <f>N292+Z292</f>
        <v>471696822</v>
      </c>
      <c r="AC292" s="1214">
        <f t="shared" si="114"/>
        <v>1.05</v>
      </c>
      <c r="AD292" s="1214">
        <f t="shared" si="114"/>
        <v>9.43393644E-2</v>
      </c>
      <c r="AE292" s="384"/>
    </row>
    <row r="293" spans="1:31" s="494" customFormat="1" ht="51">
      <c r="A293" s="384"/>
      <c r="B293" s="384"/>
      <c r="C293" s="623" t="s">
        <v>66</v>
      </c>
      <c r="D293" s="623" t="s">
        <v>196</v>
      </c>
      <c r="E293" s="623" t="s">
        <v>66</v>
      </c>
      <c r="F293" s="383">
        <v>29</v>
      </c>
      <c r="G293" s="1236">
        <v>12</v>
      </c>
      <c r="H293" s="1236"/>
      <c r="I293" s="1200" t="s">
        <v>1761</v>
      </c>
      <c r="J293" s="1200" t="s">
        <v>1759</v>
      </c>
      <c r="K293" s="591">
        <v>1</v>
      </c>
      <c r="L293" s="1202">
        <v>3000000000</v>
      </c>
      <c r="M293" s="1195">
        <v>1</v>
      </c>
      <c r="N293" s="590">
        <v>892324200</v>
      </c>
      <c r="O293" s="1258" t="s">
        <v>1762</v>
      </c>
      <c r="P293" s="590">
        <v>3436489083</v>
      </c>
      <c r="Q293" s="1195">
        <v>0.05</v>
      </c>
      <c r="R293" s="590">
        <v>3932374</v>
      </c>
      <c r="S293" s="1195"/>
      <c r="T293" s="1202"/>
      <c r="U293" s="1195"/>
      <c r="V293" s="1202"/>
      <c r="W293" s="1195"/>
      <c r="X293" s="1202"/>
      <c r="Y293" s="1195">
        <f t="shared" ref="Y293:Z298" si="115">Q293+S293+U293+W293</f>
        <v>0.05</v>
      </c>
      <c r="Z293" s="1196">
        <f t="shared" si="115"/>
        <v>3932374</v>
      </c>
      <c r="AA293" s="1195">
        <f t="shared" ref="AA293:AB303" si="116">M293+Y293</f>
        <v>1.05</v>
      </c>
      <c r="AB293" s="1196">
        <f t="shared" si="116"/>
        <v>896256574</v>
      </c>
      <c r="AC293" s="1214">
        <f t="shared" si="114"/>
        <v>1.05</v>
      </c>
      <c r="AD293" s="1214">
        <f t="shared" si="114"/>
        <v>0.29875219133333331</v>
      </c>
      <c r="AE293" s="384"/>
    </row>
    <row r="294" spans="1:31" s="494" customFormat="1" ht="25.5">
      <c r="A294" s="384"/>
      <c r="B294" s="384"/>
      <c r="C294" s="623" t="s">
        <v>66</v>
      </c>
      <c r="D294" s="623" t="s">
        <v>196</v>
      </c>
      <c r="E294" s="623" t="s">
        <v>66</v>
      </c>
      <c r="F294" s="383">
        <v>29</v>
      </c>
      <c r="G294" s="421">
        <v>24</v>
      </c>
      <c r="H294" s="384"/>
      <c r="I294" s="1200" t="s">
        <v>1763</v>
      </c>
      <c r="J294" s="384"/>
      <c r="K294" s="591">
        <v>1</v>
      </c>
      <c r="L294" s="1202">
        <v>2500000000</v>
      </c>
      <c r="M294" s="1195">
        <v>0.65</v>
      </c>
      <c r="N294" s="590">
        <v>472461650</v>
      </c>
      <c r="O294" s="1258"/>
      <c r="P294" s="590"/>
      <c r="Q294" s="591"/>
      <c r="R294" s="590"/>
      <c r="S294" s="1195"/>
      <c r="T294" s="1202"/>
      <c r="U294" s="1195"/>
      <c r="V294" s="1202"/>
      <c r="W294" s="1195"/>
      <c r="X294" s="1202"/>
      <c r="Y294" s="1195">
        <f t="shared" si="115"/>
        <v>0</v>
      </c>
      <c r="Z294" s="1196">
        <f t="shared" si="115"/>
        <v>0</v>
      </c>
      <c r="AA294" s="1195">
        <f t="shared" si="116"/>
        <v>0.65</v>
      </c>
      <c r="AB294" s="1196">
        <f t="shared" si="116"/>
        <v>472461650</v>
      </c>
      <c r="AC294" s="1214">
        <f t="shared" si="114"/>
        <v>0.65</v>
      </c>
      <c r="AD294" s="1214">
        <f t="shared" si="114"/>
        <v>0.18898466</v>
      </c>
      <c r="AE294" s="384"/>
    </row>
    <row r="295" spans="1:31" s="494" customFormat="1" ht="30.75" customHeight="1">
      <c r="A295" s="384"/>
      <c r="B295" s="384"/>
      <c r="C295" s="623" t="s">
        <v>66</v>
      </c>
      <c r="D295" s="623" t="s">
        <v>196</v>
      </c>
      <c r="E295" s="623" t="s">
        <v>66</v>
      </c>
      <c r="F295" s="383">
        <v>29</v>
      </c>
      <c r="G295" s="421">
        <v>25</v>
      </c>
      <c r="H295" s="384"/>
      <c r="I295" s="1200" t="s">
        <v>1764</v>
      </c>
      <c r="J295" s="384"/>
      <c r="K295" s="591">
        <v>1</v>
      </c>
      <c r="L295" s="1202">
        <v>300000000</v>
      </c>
      <c r="M295" s="1195">
        <v>0</v>
      </c>
      <c r="N295" s="590">
        <v>1706480</v>
      </c>
      <c r="O295" s="591"/>
      <c r="P295" s="590"/>
      <c r="Q295" s="1195"/>
      <c r="R295" s="590"/>
      <c r="S295" s="1214"/>
      <c r="T295" s="1221"/>
      <c r="U295" s="1214"/>
      <c r="V295" s="1221"/>
      <c r="W295" s="1214"/>
      <c r="X295" s="1221"/>
      <c r="Y295" s="1214">
        <f t="shared" si="115"/>
        <v>0</v>
      </c>
      <c r="Z295" s="1215">
        <f t="shared" si="115"/>
        <v>0</v>
      </c>
      <c r="AA295" s="1214">
        <f t="shared" si="116"/>
        <v>0</v>
      </c>
      <c r="AB295" s="1215">
        <f t="shared" si="116"/>
        <v>1706480</v>
      </c>
      <c r="AC295" s="1214">
        <f t="shared" si="114"/>
        <v>0</v>
      </c>
      <c r="AD295" s="1214">
        <f t="shared" si="114"/>
        <v>5.6882666666666663E-3</v>
      </c>
      <c r="AE295" s="634" t="s">
        <v>1765</v>
      </c>
    </row>
    <row r="296" spans="1:31" s="494" customFormat="1" ht="39" customHeight="1">
      <c r="A296" s="384"/>
      <c r="B296" s="384"/>
      <c r="C296" s="623" t="s">
        <v>66</v>
      </c>
      <c r="D296" s="623" t="s">
        <v>196</v>
      </c>
      <c r="E296" s="623" t="s">
        <v>66</v>
      </c>
      <c r="F296" s="383">
        <v>29</v>
      </c>
      <c r="G296" s="421">
        <v>27</v>
      </c>
      <c r="H296" s="384"/>
      <c r="I296" s="1200" t="s">
        <v>1766</v>
      </c>
      <c r="J296" s="384" t="s">
        <v>1767</v>
      </c>
      <c r="K296" s="591">
        <v>1</v>
      </c>
      <c r="L296" s="1202">
        <v>350000000</v>
      </c>
      <c r="M296" s="1195">
        <v>1</v>
      </c>
      <c r="N296" s="590">
        <v>147172100</v>
      </c>
      <c r="O296" s="1259"/>
      <c r="P296" s="590"/>
      <c r="Q296" s="1195"/>
      <c r="R296" s="590"/>
      <c r="S296" s="1214"/>
      <c r="T296" s="1221"/>
      <c r="U296" s="1214"/>
      <c r="V296" s="1221"/>
      <c r="W296" s="1214"/>
      <c r="X296" s="1221"/>
      <c r="Y296" s="1214">
        <f t="shared" si="115"/>
        <v>0</v>
      </c>
      <c r="Z296" s="1215">
        <f t="shared" si="115"/>
        <v>0</v>
      </c>
      <c r="AA296" s="1214">
        <f t="shared" si="116"/>
        <v>1</v>
      </c>
      <c r="AB296" s="1215">
        <f t="shared" si="116"/>
        <v>147172100</v>
      </c>
      <c r="AC296" s="1214">
        <f t="shared" si="114"/>
        <v>1</v>
      </c>
      <c r="AD296" s="1214">
        <f t="shared" si="114"/>
        <v>0.4204917142857143</v>
      </c>
      <c r="AE296" s="384"/>
    </row>
    <row r="297" spans="1:31" s="494" customFormat="1" ht="36.75" customHeight="1">
      <c r="A297" s="384"/>
      <c r="B297" s="384"/>
      <c r="C297" s="623" t="s">
        <v>66</v>
      </c>
      <c r="D297" s="623" t="s">
        <v>196</v>
      </c>
      <c r="E297" s="623" t="s">
        <v>66</v>
      </c>
      <c r="F297" s="383">
        <v>29</v>
      </c>
      <c r="G297" s="421">
        <v>29</v>
      </c>
      <c r="H297" s="384"/>
      <c r="I297" s="1200" t="s">
        <v>1768</v>
      </c>
      <c r="J297" s="384" t="s">
        <v>1767</v>
      </c>
      <c r="K297" s="591">
        <v>1</v>
      </c>
      <c r="L297" s="1202">
        <v>200000000</v>
      </c>
      <c r="M297" s="1195">
        <v>1</v>
      </c>
      <c r="N297" s="590">
        <v>44522600</v>
      </c>
      <c r="O297" s="1259"/>
      <c r="P297" s="590"/>
      <c r="Q297" s="1195"/>
      <c r="R297" s="590"/>
      <c r="S297" s="1195"/>
      <c r="T297" s="1202"/>
      <c r="U297" s="1195"/>
      <c r="V297" s="1202"/>
      <c r="W297" s="1214"/>
      <c r="X297" s="1221"/>
      <c r="Y297" s="1214">
        <f t="shared" si="115"/>
        <v>0</v>
      </c>
      <c r="Z297" s="1215">
        <f t="shared" si="115"/>
        <v>0</v>
      </c>
      <c r="AA297" s="1195">
        <f t="shared" si="116"/>
        <v>1</v>
      </c>
      <c r="AB297" s="1196">
        <f t="shared" si="116"/>
        <v>44522600</v>
      </c>
      <c r="AC297" s="1214">
        <f t="shared" si="114"/>
        <v>1</v>
      </c>
      <c r="AD297" s="1214">
        <f t="shared" si="114"/>
        <v>0.22261300000000001</v>
      </c>
      <c r="AE297" s="384"/>
    </row>
    <row r="298" spans="1:31" s="494" customFormat="1" ht="25.5">
      <c r="A298" s="384"/>
      <c r="B298" s="384"/>
      <c r="C298" s="623" t="s">
        <v>66</v>
      </c>
      <c r="D298" s="623" t="s">
        <v>196</v>
      </c>
      <c r="E298" s="623" t="s">
        <v>66</v>
      </c>
      <c r="F298" s="383">
        <v>29</v>
      </c>
      <c r="G298" s="421">
        <v>26</v>
      </c>
      <c r="H298" s="384"/>
      <c r="I298" s="1200" t="s">
        <v>1769</v>
      </c>
      <c r="J298" s="384"/>
      <c r="K298" s="591">
        <v>1</v>
      </c>
      <c r="L298" s="1202">
        <v>697028000</v>
      </c>
      <c r="M298" s="1195">
        <v>0.94730000000000003</v>
      </c>
      <c r="N298" s="590">
        <v>568066500</v>
      </c>
      <c r="O298" s="1259"/>
      <c r="P298" s="590"/>
      <c r="Q298" s="1195"/>
      <c r="R298" s="590"/>
      <c r="S298" s="1195"/>
      <c r="T298" s="1202"/>
      <c r="U298" s="1195"/>
      <c r="V298" s="1202"/>
      <c r="W298" s="1212"/>
      <c r="X298" s="1221"/>
      <c r="Y298" s="1214">
        <f t="shared" si="115"/>
        <v>0</v>
      </c>
      <c r="Z298" s="1215">
        <f t="shared" si="115"/>
        <v>0</v>
      </c>
      <c r="AA298" s="1195">
        <f t="shared" si="116"/>
        <v>0.94730000000000003</v>
      </c>
      <c r="AB298" s="1196">
        <f t="shared" si="116"/>
        <v>568066500</v>
      </c>
      <c r="AC298" s="1214">
        <f t="shared" si="114"/>
        <v>0.94730000000000003</v>
      </c>
      <c r="AD298" s="1214">
        <f t="shared" si="114"/>
        <v>0.81498375961941272</v>
      </c>
      <c r="AE298" s="384"/>
    </row>
    <row r="299" spans="1:31" s="494" customFormat="1" ht="27.75" customHeight="1">
      <c r="A299" s="2398" t="s">
        <v>89</v>
      </c>
      <c r="B299" s="2398"/>
      <c r="C299" s="2398"/>
      <c r="D299" s="2398"/>
      <c r="E299" s="2398"/>
      <c r="F299" s="2398"/>
      <c r="G299" s="2398"/>
      <c r="H299" s="2398"/>
      <c r="I299" s="2398"/>
      <c r="J299" s="2398"/>
      <c r="K299" s="2398"/>
      <c r="L299" s="2398"/>
      <c r="M299" s="2398"/>
      <c r="N299" s="2398"/>
      <c r="O299" s="2398"/>
      <c r="P299" s="2398"/>
      <c r="Q299" s="2398"/>
      <c r="R299" s="2398"/>
      <c r="S299" s="2398"/>
      <c r="T299" s="2398"/>
      <c r="U299" s="2398"/>
      <c r="V299" s="2398"/>
      <c r="W299" s="2398"/>
      <c r="X299" s="2398"/>
      <c r="Y299" s="2398"/>
      <c r="Z299" s="2398"/>
      <c r="AA299" s="2398"/>
      <c r="AB299" s="2398"/>
      <c r="AC299" s="1195">
        <f>AVERAGE(AC292:AC298)</f>
        <v>0.81390000000000007</v>
      </c>
      <c r="AD299" s="1195">
        <f>AD291</f>
        <v>0.21597714606457294</v>
      </c>
      <c r="AE299" s="384"/>
    </row>
    <row r="300" spans="1:31" s="494" customFormat="1">
      <c r="A300" s="2398" t="s">
        <v>1679</v>
      </c>
      <c r="B300" s="2398"/>
      <c r="C300" s="2398"/>
      <c r="D300" s="2398"/>
      <c r="E300" s="2398"/>
      <c r="F300" s="2398"/>
      <c r="G300" s="2398"/>
      <c r="H300" s="2398"/>
      <c r="I300" s="2398"/>
      <c r="J300" s="2398"/>
      <c r="K300" s="2398"/>
      <c r="L300" s="2398"/>
      <c r="M300" s="2398"/>
      <c r="N300" s="2398"/>
      <c r="O300" s="2398"/>
      <c r="P300" s="2398"/>
      <c r="Q300" s="2398"/>
      <c r="R300" s="2398"/>
      <c r="S300" s="2398"/>
      <c r="T300" s="2398"/>
      <c r="U300" s="2398"/>
      <c r="V300" s="2398"/>
      <c r="W300" s="2398"/>
      <c r="X300" s="2398"/>
      <c r="Y300" s="2398"/>
      <c r="Z300" s="2398"/>
      <c r="AA300" s="2398"/>
      <c r="AB300" s="2398"/>
      <c r="AC300" s="384"/>
      <c r="AD300" s="384"/>
      <c r="AE300" s="384"/>
    </row>
    <row r="301" spans="1:31" s="494" customFormat="1">
      <c r="A301" s="384"/>
      <c r="B301" s="384"/>
      <c r="C301" s="384"/>
      <c r="D301" s="384"/>
      <c r="E301" s="384"/>
      <c r="F301" s="384"/>
      <c r="G301" s="384"/>
      <c r="H301" s="384"/>
      <c r="I301" s="1248"/>
      <c r="J301" s="384"/>
      <c r="K301" s="384"/>
      <c r="L301" s="384"/>
      <c r="M301" s="384"/>
      <c r="N301" s="590"/>
      <c r="O301" s="384"/>
      <c r="P301" s="384"/>
      <c r="Q301" s="384"/>
      <c r="R301" s="384"/>
      <c r="S301" s="384"/>
      <c r="T301" s="384"/>
      <c r="U301" s="384"/>
      <c r="V301" s="384"/>
      <c r="W301" s="384"/>
      <c r="X301" s="384"/>
      <c r="Y301" s="384"/>
      <c r="Z301" s="384"/>
      <c r="AA301" s="384"/>
      <c r="AB301" s="1196"/>
      <c r="AC301" s="1219"/>
      <c r="AD301" s="1219"/>
      <c r="AE301" s="384"/>
    </row>
    <row r="302" spans="1:31" s="498" customFormat="1" ht="78.75" customHeight="1">
      <c r="A302" s="753">
        <v>9</v>
      </c>
      <c r="B302" s="383" t="s">
        <v>1770</v>
      </c>
      <c r="C302" s="623" t="s">
        <v>66</v>
      </c>
      <c r="D302" s="623" t="s">
        <v>196</v>
      </c>
      <c r="E302" s="623" t="s">
        <v>66</v>
      </c>
      <c r="F302" s="383">
        <v>30</v>
      </c>
      <c r="G302" s="383"/>
      <c r="H302" s="383"/>
      <c r="I302" s="1237" t="s">
        <v>1771</v>
      </c>
      <c r="J302" s="1237" t="s">
        <v>1772</v>
      </c>
      <c r="K302" s="591">
        <v>1</v>
      </c>
      <c r="L302" s="1227">
        <f>SUM(L303:L311)</f>
        <v>20894018560</v>
      </c>
      <c r="M302" s="1195">
        <v>1</v>
      </c>
      <c r="N302" s="628">
        <f>SUM(N303:N311)</f>
        <v>3623119446</v>
      </c>
      <c r="O302" s="1195">
        <v>1</v>
      </c>
      <c r="P302" s="1227">
        <f>SUM(P303:P311)</f>
        <v>3599747762</v>
      </c>
      <c r="Q302" s="1193">
        <f>SUM(Q303:Q311)</f>
        <v>4.7699999999999999E-2</v>
      </c>
      <c r="R302" s="629">
        <f>R304+R305+R308+R309</f>
        <v>9372230</v>
      </c>
      <c r="S302" s="1193"/>
      <c r="T302" s="629"/>
      <c r="U302" s="1193"/>
      <c r="V302" s="629"/>
      <c r="W302" s="1195"/>
      <c r="X302" s="629"/>
      <c r="Y302" s="591">
        <f>Q302+S302+U302+W302</f>
        <v>4.7699999999999999E-2</v>
      </c>
      <c r="Z302" s="1196">
        <f>R302+T302+V302+X302</f>
        <v>9372230</v>
      </c>
      <c r="AA302" s="1212">
        <f>M299+Y302</f>
        <v>4.7699999999999999E-2</v>
      </c>
      <c r="AB302" s="1215">
        <f t="shared" si="116"/>
        <v>3632491676</v>
      </c>
      <c r="AC302" s="1214">
        <f t="shared" si="114"/>
        <v>4.7699999999999999E-2</v>
      </c>
      <c r="AD302" s="1214">
        <f t="shared" si="114"/>
        <v>0.17385318509069037</v>
      </c>
      <c r="AE302" s="383"/>
    </row>
    <row r="303" spans="1:31" s="494" customFormat="1" ht="36.75" customHeight="1">
      <c r="A303" s="384"/>
      <c r="B303" s="384"/>
      <c r="C303" s="623" t="s">
        <v>66</v>
      </c>
      <c r="D303" s="623" t="s">
        <v>196</v>
      </c>
      <c r="E303" s="623" t="s">
        <v>66</v>
      </c>
      <c r="F303" s="383">
        <v>30</v>
      </c>
      <c r="G303" s="421">
        <v>47</v>
      </c>
      <c r="H303" s="384"/>
      <c r="I303" s="1200" t="s">
        <v>1773</v>
      </c>
      <c r="J303" s="1200" t="s">
        <v>1773</v>
      </c>
      <c r="K303" s="591">
        <v>0.69950000000000001</v>
      </c>
      <c r="L303" s="1202">
        <v>17000000000</v>
      </c>
      <c r="M303" s="1195">
        <v>1</v>
      </c>
      <c r="N303" s="590">
        <v>248059400</v>
      </c>
      <c r="O303" s="384"/>
      <c r="P303" s="1202"/>
      <c r="Q303" s="384"/>
      <c r="R303" s="384"/>
      <c r="S303" s="384"/>
      <c r="T303" s="384"/>
      <c r="U303" s="1195"/>
      <c r="V303" s="1202"/>
      <c r="W303" s="1195"/>
      <c r="X303" s="1202"/>
      <c r="Y303" s="1219">
        <f t="shared" ref="Y303:Z311" si="117">Q303+S303+U303+W303</f>
        <v>0</v>
      </c>
      <c r="Z303" s="1215">
        <f t="shared" si="117"/>
        <v>0</v>
      </c>
      <c r="AA303" s="1229">
        <f>M302+Y303</f>
        <v>1</v>
      </c>
      <c r="AB303" s="1196">
        <f t="shared" si="116"/>
        <v>248059400</v>
      </c>
      <c r="AC303" s="1214">
        <f t="shared" si="114"/>
        <v>1.4295925661186561</v>
      </c>
      <c r="AD303" s="1214">
        <f t="shared" si="114"/>
        <v>1.4591729411764705E-2</v>
      </c>
      <c r="AE303" s="384"/>
    </row>
    <row r="304" spans="1:31" s="494" customFormat="1" ht="36.75" customHeight="1">
      <c r="A304" s="384"/>
      <c r="B304" s="384"/>
      <c r="C304" s="623" t="s">
        <v>66</v>
      </c>
      <c r="D304" s="623" t="s">
        <v>196</v>
      </c>
      <c r="E304" s="623" t="s">
        <v>66</v>
      </c>
      <c r="F304" s="383">
        <v>30</v>
      </c>
      <c r="G304" s="383">
        <v>50</v>
      </c>
      <c r="H304" s="383"/>
      <c r="I304" s="1200" t="s">
        <v>1774</v>
      </c>
      <c r="J304" s="384" t="s">
        <v>1775</v>
      </c>
      <c r="K304" s="591">
        <v>1</v>
      </c>
      <c r="L304" s="1202">
        <v>500000000</v>
      </c>
      <c r="M304" s="1195">
        <v>1</v>
      </c>
      <c r="N304" s="590">
        <v>1050000000</v>
      </c>
      <c r="O304" s="1195">
        <v>1</v>
      </c>
      <c r="P304" s="1202">
        <v>500000000</v>
      </c>
      <c r="Q304" s="384">
        <v>0</v>
      </c>
      <c r="R304" s="1202">
        <v>0</v>
      </c>
      <c r="S304" s="384"/>
      <c r="T304" s="384"/>
      <c r="U304" s="1195"/>
      <c r="V304" s="1202"/>
      <c r="W304" s="591"/>
      <c r="X304" s="1202"/>
      <c r="Y304" s="591">
        <f t="shared" si="117"/>
        <v>0</v>
      </c>
      <c r="Z304" s="1196">
        <f t="shared" si="117"/>
        <v>0</v>
      </c>
      <c r="AA304" s="591">
        <f t="shared" ref="AA304:AB307" si="118">M303+Y304</f>
        <v>1</v>
      </c>
      <c r="AB304" s="1196">
        <f t="shared" si="118"/>
        <v>248059400</v>
      </c>
      <c r="AC304" s="1214">
        <f t="shared" si="114"/>
        <v>1</v>
      </c>
      <c r="AD304" s="1214">
        <f t="shared" si="114"/>
        <v>0.49611880000000003</v>
      </c>
      <c r="AE304" s="384"/>
    </row>
    <row r="305" spans="1:31" s="494" customFormat="1" ht="29.25" customHeight="1">
      <c r="A305" s="384"/>
      <c r="B305" s="384"/>
      <c r="C305" s="623" t="s">
        <v>66</v>
      </c>
      <c r="D305" s="623" t="s">
        <v>196</v>
      </c>
      <c r="E305" s="623" t="s">
        <v>66</v>
      </c>
      <c r="F305" s="383">
        <v>30</v>
      </c>
      <c r="G305" s="383">
        <v>51</v>
      </c>
      <c r="H305" s="383"/>
      <c r="I305" s="1200" t="s">
        <v>1776</v>
      </c>
      <c r="J305" s="1200" t="s">
        <v>1777</v>
      </c>
      <c r="K305" s="591">
        <v>1</v>
      </c>
      <c r="L305" s="1202">
        <v>300000000</v>
      </c>
      <c r="M305" s="1195">
        <v>1</v>
      </c>
      <c r="N305" s="590">
        <v>215912450</v>
      </c>
      <c r="O305" s="1195">
        <v>1</v>
      </c>
      <c r="P305" s="1202">
        <v>169747762</v>
      </c>
      <c r="Q305" s="591">
        <v>4.7699999999999999E-2</v>
      </c>
      <c r="R305" s="1202">
        <v>8094594</v>
      </c>
      <c r="S305" s="591"/>
      <c r="T305" s="384"/>
      <c r="U305" s="591"/>
      <c r="V305" s="1202"/>
      <c r="W305" s="591"/>
      <c r="X305" s="1202"/>
      <c r="Y305" s="1219">
        <f t="shared" si="117"/>
        <v>4.7699999999999999E-2</v>
      </c>
      <c r="Z305" s="1196">
        <f t="shared" si="117"/>
        <v>8094594</v>
      </c>
      <c r="AA305" s="591">
        <f t="shared" si="118"/>
        <v>1.0477000000000001</v>
      </c>
      <c r="AB305" s="1196">
        <f t="shared" si="118"/>
        <v>1058094594</v>
      </c>
      <c r="AC305" s="1214">
        <f t="shared" si="114"/>
        <v>1.0477000000000001</v>
      </c>
      <c r="AD305" s="1214">
        <f t="shared" si="114"/>
        <v>3.52698198</v>
      </c>
      <c r="AE305" s="384"/>
    </row>
    <row r="306" spans="1:31" s="494" customFormat="1" ht="58.5" customHeight="1">
      <c r="A306" s="384"/>
      <c r="B306" s="384"/>
      <c r="C306" s="421"/>
      <c r="D306" s="421"/>
      <c r="E306" s="421"/>
      <c r="F306" s="421"/>
      <c r="G306" s="384">
        <v>53</v>
      </c>
      <c r="H306" s="384"/>
      <c r="I306" s="1200" t="s">
        <v>1778</v>
      </c>
      <c r="J306" s="384" t="s">
        <v>1779</v>
      </c>
      <c r="K306" s="1219">
        <v>1</v>
      </c>
      <c r="L306" s="1221">
        <v>90000000</v>
      </c>
      <c r="M306" s="1214">
        <v>1</v>
      </c>
      <c r="N306" s="681">
        <v>88951400</v>
      </c>
      <c r="O306" s="384"/>
      <c r="P306" s="1202"/>
      <c r="Q306" s="591"/>
      <c r="R306" s="1202"/>
      <c r="S306" s="591"/>
      <c r="T306" s="1202"/>
      <c r="U306" s="1219"/>
      <c r="V306" s="1221"/>
      <c r="W306" s="1214"/>
      <c r="X306" s="1221"/>
      <c r="Y306" s="1219">
        <f t="shared" si="117"/>
        <v>0</v>
      </c>
      <c r="Z306" s="1215">
        <f t="shared" si="117"/>
        <v>0</v>
      </c>
      <c r="AA306" s="1219">
        <f t="shared" si="118"/>
        <v>1</v>
      </c>
      <c r="AB306" s="1215">
        <f t="shared" si="118"/>
        <v>215912450</v>
      </c>
      <c r="AC306" s="1214">
        <f t="shared" si="114"/>
        <v>1</v>
      </c>
      <c r="AD306" s="1214">
        <f t="shared" si="114"/>
        <v>2.3990272222222222</v>
      </c>
      <c r="AE306" s="384"/>
    </row>
    <row r="307" spans="1:31" s="494" customFormat="1" ht="29.25" customHeight="1">
      <c r="A307" s="384"/>
      <c r="B307" s="384"/>
      <c r="C307" s="421"/>
      <c r="D307" s="421"/>
      <c r="E307" s="421"/>
      <c r="F307" s="421"/>
      <c r="G307" s="384">
        <v>54</v>
      </c>
      <c r="H307" s="384"/>
      <c r="I307" s="1200" t="s">
        <v>1780</v>
      </c>
      <c r="J307" s="1200" t="s">
        <v>1781</v>
      </c>
      <c r="K307" s="591">
        <v>1</v>
      </c>
      <c r="L307" s="1202">
        <v>300000000</v>
      </c>
      <c r="M307" s="1195">
        <v>1</v>
      </c>
      <c r="N307" s="590">
        <v>60547936</v>
      </c>
      <c r="O307" s="384"/>
      <c r="P307" s="1202"/>
      <c r="Q307" s="591"/>
      <c r="R307" s="1202"/>
      <c r="S307" s="1195"/>
      <c r="T307" s="1202"/>
      <c r="U307" s="1195"/>
      <c r="V307" s="1202"/>
      <c r="W307" s="1195"/>
      <c r="X307" s="1202"/>
      <c r="Y307" s="1219">
        <f t="shared" si="117"/>
        <v>0</v>
      </c>
      <c r="Z307" s="1215">
        <f t="shared" si="117"/>
        <v>0</v>
      </c>
      <c r="AA307" s="591">
        <f t="shared" si="118"/>
        <v>1</v>
      </c>
      <c r="AB307" s="1196">
        <f t="shared" si="118"/>
        <v>88951400</v>
      </c>
      <c r="AC307" s="1214">
        <f t="shared" si="114"/>
        <v>1</v>
      </c>
      <c r="AD307" s="1214">
        <f t="shared" si="114"/>
        <v>0.29650466666666669</v>
      </c>
      <c r="AE307" s="384"/>
    </row>
    <row r="308" spans="1:31" s="494" customFormat="1" ht="39.75" customHeight="1">
      <c r="A308" s="384"/>
      <c r="B308" s="384"/>
      <c r="C308" s="623" t="s">
        <v>66</v>
      </c>
      <c r="D308" s="623" t="s">
        <v>196</v>
      </c>
      <c r="E308" s="623" t="s">
        <v>66</v>
      </c>
      <c r="F308" s="383">
        <v>30</v>
      </c>
      <c r="G308" s="383">
        <v>55</v>
      </c>
      <c r="H308" s="383"/>
      <c r="I308" s="1200" t="s">
        <v>1782</v>
      </c>
      <c r="J308" s="384"/>
      <c r="K308" s="591">
        <v>1</v>
      </c>
      <c r="L308" s="1202">
        <v>1000000000</v>
      </c>
      <c r="M308" s="1195">
        <v>1</v>
      </c>
      <c r="N308" s="590">
        <v>336359000</v>
      </c>
      <c r="O308" s="1195">
        <v>1</v>
      </c>
      <c r="P308" s="1202">
        <v>1950000000</v>
      </c>
      <c r="Q308" s="591">
        <v>0</v>
      </c>
      <c r="R308" s="1202">
        <v>1277636</v>
      </c>
      <c r="S308" s="591"/>
      <c r="T308" s="1202"/>
      <c r="U308" s="384"/>
      <c r="V308" s="1202"/>
      <c r="W308" s="1195"/>
      <c r="X308" s="1202"/>
      <c r="Y308" s="1219">
        <f t="shared" si="117"/>
        <v>0</v>
      </c>
      <c r="Z308" s="1215">
        <f t="shared" si="117"/>
        <v>1277636</v>
      </c>
      <c r="AA308" s="591">
        <f>M307+Y308</f>
        <v>1</v>
      </c>
      <c r="AB308" s="1196">
        <f>N307+Z308</f>
        <v>61825572</v>
      </c>
      <c r="AC308" s="1214">
        <f t="shared" si="114"/>
        <v>1</v>
      </c>
      <c r="AD308" s="1214">
        <f t="shared" si="114"/>
        <v>6.1825572000000002E-2</v>
      </c>
      <c r="AE308" s="384"/>
    </row>
    <row r="309" spans="1:31" s="494" customFormat="1" ht="39" customHeight="1">
      <c r="A309" s="384"/>
      <c r="B309" s="384"/>
      <c r="C309" s="623" t="s">
        <v>66</v>
      </c>
      <c r="D309" s="623" t="s">
        <v>196</v>
      </c>
      <c r="E309" s="623" t="s">
        <v>66</v>
      </c>
      <c r="F309" s="383">
        <v>30</v>
      </c>
      <c r="G309" s="383">
        <v>56</v>
      </c>
      <c r="H309" s="383"/>
      <c r="I309" s="1200" t="s">
        <v>1783</v>
      </c>
      <c r="J309" s="384" t="s">
        <v>1775</v>
      </c>
      <c r="K309" s="591">
        <v>1</v>
      </c>
      <c r="L309" s="1202">
        <v>980000000</v>
      </c>
      <c r="M309" s="1195">
        <v>1</v>
      </c>
      <c r="N309" s="590">
        <v>979991000</v>
      </c>
      <c r="O309" s="1195">
        <v>1</v>
      </c>
      <c r="P309" s="1202">
        <v>980000000</v>
      </c>
      <c r="Q309" s="591">
        <v>0</v>
      </c>
      <c r="R309" s="1202">
        <v>0</v>
      </c>
      <c r="S309" s="591"/>
      <c r="T309" s="1202"/>
      <c r="U309" s="384"/>
      <c r="V309" s="1202"/>
      <c r="W309" s="1195"/>
      <c r="X309" s="1202"/>
      <c r="Y309" s="1219">
        <f t="shared" si="117"/>
        <v>0</v>
      </c>
      <c r="Z309" s="1215">
        <f t="shared" si="117"/>
        <v>0</v>
      </c>
      <c r="AA309" s="591">
        <f t="shared" ref="AA309:AB311" si="119">M308+Y309</f>
        <v>1</v>
      </c>
      <c r="AB309" s="1196">
        <f t="shared" si="119"/>
        <v>336359000</v>
      </c>
      <c r="AC309" s="1214">
        <f t="shared" si="114"/>
        <v>1</v>
      </c>
      <c r="AD309" s="1214">
        <f t="shared" si="114"/>
        <v>0.34322346938775511</v>
      </c>
      <c r="AE309" s="384"/>
    </row>
    <row r="310" spans="1:31" s="494" customFormat="1" ht="29.25" customHeight="1">
      <c r="A310" s="384"/>
      <c r="B310" s="384"/>
      <c r="C310" s="421"/>
      <c r="D310" s="421"/>
      <c r="E310" s="421"/>
      <c r="F310" s="421"/>
      <c r="G310" s="384">
        <v>57</v>
      </c>
      <c r="H310" s="384"/>
      <c r="I310" s="1200" t="s">
        <v>1784</v>
      </c>
      <c r="J310" s="384"/>
      <c r="K310" s="591">
        <v>1</v>
      </c>
      <c r="L310" s="1202">
        <v>574018560</v>
      </c>
      <c r="M310" s="1195">
        <v>0.9647</v>
      </c>
      <c r="N310" s="590">
        <v>493623760</v>
      </c>
      <c r="O310" s="384"/>
      <c r="P310" s="1202"/>
      <c r="Q310" s="1195"/>
      <c r="R310" s="1202"/>
      <c r="S310" s="1195"/>
      <c r="T310" s="1202"/>
      <c r="U310" s="1195"/>
      <c r="V310" s="1202"/>
      <c r="W310" s="1195"/>
      <c r="X310" s="1202"/>
      <c r="Y310" s="1219">
        <f t="shared" si="117"/>
        <v>0</v>
      </c>
      <c r="Z310" s="1215">
        <f t="shared" si="117"/>
        <v>0</v>
      </c>
      <c r="AA310" s="591">
        <f t="shared" si="119"/>
        <v>1</v>
      </c>
      <c r="AB310" s="1196">
        <f t="shared" si="119"/>
        <v>979991000</v>
      </c>
      <c r="AC310" s="1214">
        <f t="shared" si="114"/>
        <v>1</v>
      </c>
      <c r="AD310" s="1214">
        <f t="shared" si="114"/>
        <v>1.7072461907851899</v>
      </c>
      <c r="AE310" s="384"/>
    </row>
    <row r="311" spans="1:31" s="494" customFormat="1" ht="29.25" customHeight="1">
      <c r="A311" s="384"/>
      <c r="B311" s="384"/>
      <c r="C311" s="421"/>
      <c r="D311" s="421"/>
      <c r="E311" s="421"/>
      <c r="F311" s="421"/>
      <c r="G311" s="384">
        <v>58</v>
      </c>
      <c r="H311" s="384"/>
      <c r="I311" s="1200" t="s">
        <v>1785</v>
      </c>
      <c r="J311" s="384"/>
      <c r="K311" s="591">
        <v>1</v>
      </c>
      <c r="L311" s="1202">
        <v>150000000</v>
      </c>
      <c r="M311" s="1195">
        <v>1</v>
      </c>
      <c r="N311" s="590">
        <v>149674500</v>
      </c>
      <c r="O311" s="384"/>
      <c r="P311" s="1202"/>
      <c r="Q311" s="1195"/>
      <c r="R311" s="1202"/>
      <c r="S311" s="1195"/>
      <c r="T311" s="1202"/>
      <c r="U311" s="1195"/>
      <c r="V311" s="1202"/>
      <c r="W311" s="1195"/>
      <c r="X311" s="1202"/>
      <c r="Y311" s="1219">
        <f t="shared" si="117"/>
        <v>0</v>
      </c>
      <c r="Z311" s="1215">
        <f t="shared" si="117"/>
        <v>0</v>
      </c>
      <c r="AA311" s="1195">
        <f t="shared" si="119"/>
        <v>0.9647</v>
      </c>
      <c r="AB311" s="1196">
        <f t="shared" si="119"/>
        <v>493623760</v>
      </c>
      <c r="AC311" s="1214">
        <f t="shared" si="114"/>
        <v>0.9647</v>
      </c>
      <c r="AD311" s="1214">
        <f t="shared" si="114"/>
        <v>3.2908250666666667</v>
      </c>
      <c r="AE311" s="384"/>
    </row>
    <row r="312" spans="1:31" s="494" customFormat="1" ht="27.75" customHeight="1">
      <c r="A312" s="2398" t="s">
        <v>89</v>
      </c>
      <c r="B312" s="2398"/>
      <c r="C312" s="2398"/>
      <c r="D312" s="2398"/>
      <c r="E312" s="2398"/>
      <c r="F312" s="2398"/>
      <c r="G312" s="2398"/>
      <c r="H312" s="2398"/>
      <c r="I312" s="2398"/>
      <c r="J312" s="2398"/>
      <c r="K312" s="2398"/>
      <c r="L312" s="2398"/>
      <c r="M312" s="2398"/>
      <c r="N312" s="2398"/>
      <c r="O312" s="2398"/>
      <c r="P312" s="2398"/>
      <c r="Q312" s="2398"/>
      <c r="R312" s="2398"/>
      <c r="S312" s="2398"/>
      <c r="T312" s="2398"/>
      <c r="U312" s="2398"/>
      <c r="V312" s="2398"/>
      <c r="W312" s="2398"/>
      <c r="X312" s="2398"/>
      <c r="Y312" s="2398"/>
      <c r="Z312" s="2398"/>
      <c r="AA312" s="2398"/>
      <c r="AB312" s="2398"/>
      <c r="AC312" s="1195">
        <f>AVERAGE(AC303:AC311)</f>
        <v>1.0491102851242953</v>
      </c>
      <c r="AD312" s="1195">
        <f>AD302</f>
        <v>0.17385318509069037</v>
      </c>
      <c r="AE312" s="384"/>
    </row>
    <row r="313" spans="1:31" s="494" customFormat="1">
      <c r="A313" s="2398" t="s">
        <v>1679</v>
      </c>
      <c r="B313" s="2398"/>
      <c r="C313" s="2398"/>
      <c r="D313" s="2398"/>
      <c r="E313" s="2398"/>
      <c r="F313" s="2398"/>
      <c r="G313" s="2398"/>
      <c r="H313" s="2398"/>
      <c r="I313" s="2398"/>
      <c r="J313" s="2398"/>
      <c r="K313" s="2398"/>
      <c r="L313" s="2398"/>
      <c r="M313" s="2398"/>
      <c r="N313" s="2398"/>
      <c r="O313" s="2398"/>
      <c r="P313" s="2398"/>
      <c r="Q313" s="2398"/>
      <c r="R313" s="2398"/>
      <c r="S313" s="2398"/>
      <c r="T313" s="2398"/>
      <c r="U313" s="2398"/>
      <c r="V313" s="2398"/>
      <c r="W313" s="2398"/>
      <c r="X313" s="2398"/>
      <c r="Y313" s="2398"/>
      <c r="Z313" s="2398"/>
      <c r="AA313" s="2398"/>
      <c r="AB313" s="2398"/>
      <c r="AC313" s="384"/>
      <c r="AD313" s="384"/>
      <c r="AE313" s="384"/>
    </row>
    <row r="314" spans="1:31" s="494" customFormat="1" ht="29.25" customHeight="1">
      <c r="A314" s="384"/>
      <c r="B314" s="384"/>
      <c r="C314" s="421"/>
      <c r="D314" s="421"/>
      <c r="E314" s="421"/>
      <c r="F314" s="421"/>
      <c r="G314" s="421"/>
      <c r="H314" s="384"/>
      <c r="I314" s="1200"/>
      <c r="J314" s="384"/>
      <c r="K314" s="384"/>
      <c r="L314" s="384"/>
      <c r="M314" s="384"/>
      <c r="N314" s="590"/>
      <c r="O314" s="384"/>
      <c r="P314" s="1202"/>
      <c r="Q314" s="1195"/>
      <c r="R314" s="1202"/>
      <c r="S314" s="1195"/>
      <c r="T314" s="1202"/>
      <c r="U314" s="1195"/>
      <c r="V314" s="1202"/>
      <c r="W314" s="1195"/>
      <c r="X314" s="1202"/>
      <c r="Y314" s="1260"/>
      <c r="Z314" s="1202"/>
      <c r="AA314" s="1195"/>
      <c r="AB314" s="1196"/>
      <c r="AC314" s="384"/>
      <c r="AD314" s="1219"/>
      <c r="AE314" s="384"/>
    </row>
    <row r="315" spans="1:31" s="145" customFormat="1" ht="73.5" customHeight="1">
      <c r="A315" s="383">
        <v>10</v>
      </c>
      <c r="B315" s="384"/>
      <c r="C315" s="623" t="s">
        <v>66</v>
      </c>
      <c r="D315" s="623" t="s">
        <v>196</v>
      </c>
      <c r="E315" s="623" t="s">
        <v>66</v>
      </c>
      <c r="F315" s="383">
        <v>33</v>
      </c>
      <c r="G315" s="383"/>
      <c r="H315" s="383"/>
      <c r="I315" s="1261" t="s">
        <v>1786</v>
      </c>
      <c r="J315" s="1261" t="s">
        <v>1787</v>
      </c>
      <c r="K315" s="591">
        <v>1</v>
      </c>
      <c r="L315" s="1191">
        <f>SUM(L316:L319)</f>
        <v>643552248</v>
      </c>
      <c r="M315" s="1262">
        <v>1</v>
      </c>
      <c r="N315" s="628">
        <f>SUM(N316:N319)</f>
        <v>373601401</v>
      </c>
      <c r="O315" s="1192" t="s">
        <v>1663</v>
      </c>
      <c r="P315" s="628">
        <f>SUM(P316:P319)</f>
        <v>382456336.75</v>
      </c>
      <c r="Q315" s="1193">
        <v>0.15</v>
      </c>
      <c r="R315" s="1194">
        <f>SUM(R316:R319)</f>
        <v>53205612</v>
      </c>
      <c r="S315" s="1193"/>
      <c r="T315" s="1194"/>
      <c r="U315" s="1193"/>
      <c r="V315" s="629"/>
      <c r="W315" s="1193"/>
      <c r="X315" s="629"/>
      <c r="Y315" s="1193">
        <f t="shared" ref="Y315:Z319" si="120">Q315+S315+U315+W315</f>
        <v>0.15</v>
      </c>
      <c r="Z315" s="1194">
        <f t="shared" si="120"/>
        <v>53205612</v>
      </c>
      <c r="AA315" s="1195">
        <f t="shared" ref="AA315:AB319" si="121">M315+Y315</f>
        <v>1.1499999999999999</v>
      </c>
      <c r="AB315" s="1215">
        <f t="shared" si="121"/>
        <v>426807013</v>
      </c>
      <c r="AC315" s="1214">
        <f>AA315/K315*100%</f>
        <v>1.1499999999999999</v>
      </c>
      <c r="AD315" s="1219">
        <f t="shared" ref="AD315:AD319" si="122">AB315/L315*100%</f>
        <v>0.66320491355039135</v>
      </c>
      <c r="AE315" s="1198" t="s">
        <v>1664</v>
      </c>
    </row>
    <row r="316" spans="1:31" s="494" customFormat="1" ht="38.25">
      <c r="A316" s="384"/>
      <c r="B316" s="384"/>
      <c r="C316" s="623" t="s">
        <v>66</v>
      </c>
      <c r="D316" s="623" t="s">
        <v>196</v>
      </c>
      <c r="E316" s="623" t="s">
        <v>66</v>
      </c>
      <c r="F316" s="383">
        <v>33</v>
      </c>
      <c r="G316" s="1256" t="s">
        <v>66</v>
      </c>
      <c r="H316" s="1256"/>
      <c r="I316" s="1263" t="s">
        <v>1788</v>
      </c>
      <c r="J316" s="1263" t="s">
        <v>1789</v>
      </c>
      <c r="K316" s="591">
        <v>1</v>
      </c>
      <c r="L316" s="590">
        <v>174293474</v>
      </c>
      <c r="M316" s="1195">
        <v>1</v>
      </c>
      <c r="N316" s="590">
        <v>102410516</v>
      </c>
      <c r="O316" s="1201" t="s">
        <v>1663</v>
      </c>
      <c r="P316" s="590">
        <v>128172575.75</v>
      </c>
      <c r="Q316" s="1195">
        <v>0.05</v>
      </c>
      <c r="R316" s="590">
        <v>6969459</v>
      </c>
      <c r="S316" s="1195"/>
      <c r="T316" s="1196"/>
      <c r="U316" s="1195"/>
      <c r="V316" s="1202"/>
      <c r="W316" s="1195"/>
      <c r="X316" s="1202"/>
      <c r="Y316" s="1193">
        <f t="shared" si="120"/>
        <v>0.05</v>
      </c>
      <c r="Z316" s="1196">
        <f t="shared" si="120"/>
        <v>6969459</v>
      </c>
      <c r="AA316" s="1195">
        <f t="shared" si="121"/>
        <v>1.05</v>
      </c>
      <c r="AB316" s="1196">
        <f t="shared" si="121"/>
        <v>109379975</v>
      </c>
      <c r="AC316" s="1195">
        <f>AA316/K316*100%</f>
        <v>1.05</v>
      </c>
      <c r="AD316" s="1219">
        <f t="shared" si="122"/>
        <v>0.62756207957619803</v>
      </c>
      <c r="AE316" s="384"/>
    </row>
    <row r="317" spans="1:31" s="494" customFormat="1" ht="25.5">
      <c r="A317" s="384"/>
      <c r="B317" s="384"/>
      <c r="C317" s="623" t="s">
        <v>66</v>
      </c>
      <c r="D317" s="623" t="s">
        <v>196</v>
      </c>
      <c r="E317" s="623" t="s">
        <v>66</v>
      </c>
      <c r="F317" s="383">
        <v>33</v>
      </c>
      <c r="G317" s="1256" t="s">
        <v>95</v>
      </c>
      <c r="H317" s="1256"/>
      <c r="I317" s="1263" t="s">
        <v>1790</v>
      </c>
      <c r="J317" s="384" t="s">
        <v>1791</v>
      </c>
      <c r="K317" s="591">
        <v>1</v>
      </c>
      <c r="L317" s="590">
        <v>269115499</v>
      </c>
      <c r="M317" s="1195">
        <v>1</v>
      </c>
      <c r="N317" s="590">
        <v>226809873</v>
      </c>
      <c r="O317" s="1201" t="s">
        <v>1663</v>
      </c>
      <c r="P317" s="590">
        <v>210153120.25</v>
      </c>
      <c r="Q317" s="1195">
        <v>0.25</v>
      </c>
      <c r="R317" s="590">
        <v>41640600</v>
      </c>
      <c r="S317" s="1195"/>
      <c r="T317" s="1196"/>
      <c r="U317" s="1195"/>
      <c r="V317" s="1202"/>
      <c r="W317" s="1195"/>
      <c r="X317" s="1202"/>
      <c r="Y317" s="1193">
        <f t="shared" si="120"/>
        <v>0.25</v>
      </c>
      <c r="Z317" s="1196">
        <f t="shared" si="120"/>
        <v>41640600</v>
      </c>
      <c r="AA317" s="1195">
        <f t="shared" si="121"/>
        <v>1.25</v>
      </c>
      <c r="AB317" s="1196">
        <f t="shared" si="121"/>
        <v>268450473</v>
      </c>
      <c r="AC317" s="1195">
        <f>AA317/K317*100%</f>
        <v>1.25</v>
      </c>
      <c r="AD317" s="1219">
        <f t="shared" si="122"/>
        <v>0.99752884541220721</v>
      </c>
      <c r="AE317" s="384"/>
    </row>
    <row r="318" spans="1:31" s="494" customFormat="1" ht="39" customHeight="1">
      <c r="A318" s="384"/>
      <c r="B318" s="384"/>
      <c r="C318" s="623" t="s">
        <v>66</v>
      </c>
      <c r="D318" s="623" t="s">
        <v>196</v>
      </c>
      <c r="E318" s="623" t="s">
        <v>66</v>
      </c>
      <c r="F318" s="383">
        <v>33</v>
      </c>
      <c r="G318" s="1256">
        <v>16</v>
      </c>
      <c r="H318" s="1256"/>
      <c r="I318" s="1222" t="s">
        <v>1792</v>
      </c>
      <c r="J318" s="1222" t="s">
        <v>1793</v>
      </c>
      <c r="K318" s="591">
        <v>1</v>
      </c>
      <c r="L318" s="590">
        <v>165862644</v>
      </c>
      <c r="M318" s="1195">
        <v>1</v>
      </c>
      <c r="N318" s="590">
        <v>35289072</v>
      </c>
      <c r="O318" s="1201" t="s">
        <v>1668</v>
      </c>
      <c r="P318" s="590">
        <v>33948116.75</v>
      </c>
      <c r="Q318" s="1195">
        <v>0.1</v>
      </c>
      <c r="R318" s="590">
        <v>2518029</v>
      </c>
      <c r="S318" s="1195"/>
      <c r="T318" s="1202"/>
      <c r="U318" s="1195"/>
      <c r="V318" s="1202"/>
      <c r="W318" s="1195"/>
      <c r="X318" s="1202"/>
      <c r="Y318" s="1193">
        <f t="shared" si="120"/>
        <v>0.1</v>
      </c>
      <c r="Z318" s="1196">
        <f t="shared" si="120"/>
        <v>2518029</v>
      </c>
      <c r="AA318" s="1195">
        <f t="shared" si="121"/>
        <v>1.1000000000000001</v>
      </c>
      <c r="AB318" s="1196">
        <f t="shared" si="121"/>
        <v>37807101</v>
      </c>
      <c r="AC318" s="1195">
        <f>AA318/K318*100%</f>
        <v>1.1000000000000001</v>
      </c>
      <c r="AD318" s="1219">
        <f t="shared" si="122"/>
        <v>0.22794223031920316</v>
      </c>
      <c r="AE318" s="384"/>
    </row>
    <row r="319" spans="1:31" s="494" customFormat="1" ht="39.75" customHeight="1">
      <c r="A319" s="384"/>
      <c r="B319" s="384"/>
      <c r="C319" s="623" t="s">
        <v>66</v>
      </c>
      <c r="D319" s="623" t="s">
        <v>196</v>
      </c>
      <c r="E319" s="623" t="s">
        <v>66</v>
      </c>
      <c r="F319" s="383">
        <v>33</v>
      </c>
      <c r="G319" s="1236">
        <v>18</v>
      </c>
      <c r="H319" s="1236"/>
      <c r="I319" s="1264" t="s">
        <v>1794</v>
      </c>
      <c r="J319" s="1222" t="s">
        <v>1794</v>
      </c>
      <c r="K319" s="591">
        <v>1</v>
      </c>
      <c r="L319" s="590">
        <v>34280631</v>
      </c>
      <c r="M319" s="1195">
        <v>1</v>
      </c>
      <c r="N319" s="590">
        <v>9091940</v>
      </c>
      <c r="O319" s="1201" t="s">
        <v>1668</v>
      </c>
      <c r="P319" s="590">
        <v>10182524</v>
      </c>
      <c r="Q319" s="1195">
        <v>0.05</v>
      </c>
      <c r="R319" s="590">
        <v>2077524</v>
      </c>
      <c r="S319" s="1206"/>
      <c r="T319" s="1202"/>
      <c r="U319" s="1195"/>
      <c r="V319" s="1202"/>
      <c r="W319" s="1195"/>
      <c r="X319" s="1202"/>
      <c r="Y319" s="1193">
        <f t="shared" si="120"/>
        <v>0.05</v>
      </c>
      <c r="Z319" s="1196">
        <f t="shared" si="120"/>
        <v>2077524</v>
      </c>
      <c r="AA319" s="1195">
        <f t="shared" si="121"/>
        <v>1.05</v>
      </c>
      <c r="AB319" s="1196">
        <f t="shared" si="121"/>
        <v>11169464</v>
      </c>
      <c r="AC319" s="1195">
        <f>AA319/K319*100%</f>
        <v>1.05</v>
      </c>
      <c r="AD319" s="1219">
        <f t="shared" si="122"/>
        <v>0.32582434086467077</v>
      </c>
      <c r="AE319" s="384"/>
    </row>
    <row r="320" spans="1:31" s="494" customFormat="1" ht="21" customHeight="1">
      <c r="A320" s="2398" t="s">
        <v>89</v>
      </c>
      <c r="B320" s="2398"/>
      <c r="C320" s="2398"/>
      <c r="D320" s="2398"/>
      <c r="E320" s="2398"/>
      <c r="F320" s="2398"/>
      <c r="G320" s="2398"/>
      <c r="H320" s="2398"/>
      <c r="I320" s="2398"/>
      <c r="J320" s="2398"/>
      <c r="K320" s="2398"/>
      <c r="L320" s="2398"/>
      <c r="M320" s="2398"/>
      <c r="N320" s="2398"/>
      <c r="O320" s="2398"/>
      <c r="P320" s="2398"/>
      <c r="Q320" s="2398"/>
      <c r="R320" s="2398"/>
      <c r="S320" s="2398"/>
      <c r="T320" s="2398"/>
      <c r="U320" s="2398"/>
      <c r="V320" s="2398"/>
      <c r="W320" s="2398"/>
      <c r="X320" s="2398"/>
      <c r="Y320" s="2398"/>
      <c r="Z320" s="2398"/>
      <c r="AA320" s="2398"/>
      <c r="AB320" s="2398"/>
      <c r="AC320" s="1195">
        <f>AVERAGE(AC316:AC319)</f>
        <v>1.1125</v>
      </c>
      <c r="AD320" s="1195">
        <f>AD315</f>
        <v>0.66320491355039135</v>
      </c>
      <c r="AE320" s="384"/>
    </row>
    <row r="321" spans="1:31" s="494" customFormat="1">
      <c r="A321" s="2398" t="s">
        <v>1679</v>
      </c>
      <c r="B321" s="2398"/>
      <c r="C321" s="2398"/>
      <c r="D321" s="2398"/>
      <c r="E321" s="2398"/>
      <c r="F321" s="2398"/>
      <c r="G321" s="2398"/>
      <c r="H321" s="2398"/>
      <c r="I321" s="2398"/>
      <c r="J321" s="2398"/>
      <c r="K321" s="2398"/>
      <c r="L321" s="2398"/>
      <c r="M321" s="2398"/>
      <c r="N321" s="2398"/>
      <c r="O321" s="2398"/>
      <c r="P321" s="2398"/>
      <c r="Q321" s="2398"/>
      <c r="R321" s="2398"/>
      <c r="S321" s="2398"/>
      <c r="T321" s="2398"/>
      <c r="U321" s="2398"/>
      <c r="V321" s="2398"/>
      <c r="W321" s="2398"/>
      <c r="X321" s="2398"/>
      <c r="Y321" s="2398"/>
      <c r="Z321" s="2398"/>
      <c r="AA321" s="2398"/>
      <c r="AB321" s="2398"/>
      <c r="AC321" s="384"/>
      <c r="AD321" s="384"/>
      <c r="AE321" s="384"/>
    </row>
    <row r="322" spans="1:31" s="498" customFormat="1" ht="54.75" customHeight="1">
      <c r="A322" s="753">
        <v>11</v>
      </c>
      <c r="B322" s="383" t="s">
        <v>1795</v>
      </c>
      <c r="C322" s="623" t="s">
        <v>66</v>
      </c>
      <c r="D322" s="623" t="s">
        <v>196</v>
      </c>
      <c r="E322" s="623" t="s">
        <v>66</v>
      </c>
      <c r="F322" s="383">
        <v>35</v>
      </c>
      <c r="G322" s="383"/>
      <c r="H322" s="383"/>
      <c r="I322" s="1237" t="s">
        <v>1796</v>
      </c>
      <c r="J322" s="1265" t="s">
        <v>1797</v>
      </c>
      <c r="K322" s="692">
        <v>100</v>
      </c>
      <c r="L322" s="693">
        <f>SUM(L323:L324)</f>
        <v>4738525280</v>
      </c>
      <c r="M322" s="1214">
        <v>1</v>
      </c>
      <c r="N322" s="1210">
        <f>SUM(N323:N324)</f>
        <v>4885419842</v>
      </c>
      <c r="O322" s="1219">
        <v>1</v>
      </c>
      <c r="P322" s="1210">
        <f>P323</f>
        <v>693208691</v>
      </c>
      <c r="Q322" s="1212">
        <v>0.15</v>
      </c>
      <c r="R322" s="1210">
        <f>R323</f>
        <v>142539510</v>
      </c>
      <c r="S322" s="1212"/>
      <c r="T322" s="1210"/>
      <c r="U322" s="1214"/>
      <c r="V322" s="1210"/>
      <c r="W322" s="1214"/>
      <c r="X322" s="1221"/>
      <c r="Y322" s="1212">
        <f t="shared" ref="Y322:Z324" si="123">Q322+S322+U322+W322</f>
        <v>0.15</v>
      </c>
      <c r="Z322" s="1211">
        <f t="shared" si="123"/>
        <v>142539510</v>
      </c>
      <c r="AA322" s="1212">
        <f t="shared" ref="AA322:AB324" si="124">M322+Y322</f>
        <v>1.1499999999999999</v>
      </c>
      <c r="AB322" s="1211">
        <f t="shared" si="124"/>
        <v>5027959352</v>
      </c>
      <c r="AC322" s="1214">
        <f>AA322/K322*100%</f>
        <v>1.15E-2</v>
      </c>
      <c r="AD322" s="1216">
        <f>AB322/L322*100%</f>
        <v>1.0610810441851226</v>
      </c>
      <c r="AE322" s="657" t="s">
        <v>1042</v>
      </c>
    </row>
    <row r="323" spans="1:31" s="494" customFormat="1" ht="25.5">
      <c r="A323" s="384"/>
      <c r="B323" s="384"/>
      <c r="C323" s="623" t="s">
        <v>66</v>
      </c>
      <c r="D323" s="623" t="s">
        <v>196</v>
      </c>
      <c r="E323" s="623" t="s">
        <v>66</v>
      </c>
      <c r="F323" s="383">
        <v>35</v>
      </c>
      <c r="G323" s="1236" t="s">
        <v>65</v>
      </c>
      <c r="H323" s="1236"/>
      <c r="I323" s="1200" t="s">
        <v>1798</v>
      </c>
      <c r="J323" s="384" t="s">
        <v>1799</v>
      </c>
      <c r="K323" s="591">
        <v>1</v>
      </c>
      <c r="L323" s="1202">
        <v>1238525280</v>
      </c>
      <c r="M323" s="1195">
        <v>1</v>
      </c>
      <c r="N323" s="590">
        <v>920595496</v>
      </c>
      <c r="O323" s="591">
        <v>1</v>
      </c>
      <c r="P323" s="1202">
        <v>693208691</v>
      </c>
      <c r="Q323" s="1195">
        <v>0.2</v>
      </c>
      <c r="R323" s="590">
        <v>142539510</v>
      </c>
      <c r="S323" s="1195"/>
      <c r="T323" s="1202"/>
      <c r="U323" s="1195"/>
      <c r="V323" s="1202"/>
      <c r="W323" s="1195"/>
      <c r="X323" s="1202"/>
      <c r="Y323" s="1195">
        <f t="shared" si="123"/>
        <v>0.2</v>
      </c>
      <c r="Z323" s="1196">
        <f t="shared" si="123"/>
        <v>142539510</v>
      </c>
      <c r="AA323" s="1195">
        <f t="shared" si="124"/>
        <v>1.2</v>
      </c>
      <c r="AB323" s="1196">
        <f t="shared" si="124"/>
        <v>1063135006</v>
      </c>
      <c r="AC323" s="1195">
        <f>AA323/K323*100%</f>
        <v>1.2</v>
      </c>
      <c r="AD323" s="1216">
        <f t="shared" ref="AD323:AD324" si="125">AB323/L323*100%</f>
        <v>0.85838781264117592</v>
      </c>
      <c r="AE323" s="384"/>
    </row>
    <row r="324" spans="1:31" s="494" customFormat="1" ht="41.25" customHeight="1">
      <c r="A324" s="384"/>
      <c r="B324" s="384"/>
      <c r="C324" s="623" t="s">
        <v>66</v>
      </c>
      <c r="D324" s="623" t="s">
        <v>196</v>
      </c>
      <c r="E324" s="623" t="s">
        <v>66</v>
      </c>
      <c r="F324" s="383">
        <v>35</v>
      </c>
      <c r="G324" s="421">
        <v>15</v>
      </c>
      <c r="H324" s="384"/>
      <c r="I324" s="1200" t="s">
        <v>1800</v>
      </c>
      <c r="J324" s="384" t="s">
        <v>1801</v>
      </c>
      <c r="K324" s="591">
        <v>1</v>
      </c>
      <c r="L324" s="1202">
        <v>3500000000</v>
      </c>
      <c r="M324" s="1195">
        <v>1</v>
      </c>
      <c r="N324" s="590">
        <v>3964824346</v>
      </c>
      <c r="O324" s="591"/>
      <c r="P324" s="590"/>
      <c r="Q324" s="1195"/>
      <c r="R324" s="590"/>
      <c r="S324" s="1195"/>
      <c r="T324" s="1202"/>
      <c r="U324" s="1195"/>
      <c r="V324" s="1202"/>
      <c r="W324" s="1195"/>
      <c r="X324" s="1202"/>
      <c r="Y324" s="1195">
        <f t="shared" si="123"/>
        <v>0</v>
      </c>
      <c r="Z324" s="1196">
        <f t="shared" si="123"/>
        <v>0</v>
      </c>
      <c r="AA324" s="1195">
        <f t="shared" si="124"/>
        <v>1</v>
      </c>
      <c r="AB324" s="1196">
        <f t="shared" si="124"/>
        <v>3964824346</v>
      </c>
      <c r="AC324" s="1195">
        <f>AA324/K324*100%</f>
        <v>1</v>
      </c>
      <c r="AD324" s="1216">
        <f t="shared" si="125"/>
        <v>1.132806956</v>
      </c>
      <c r="AE324" s="384"/>
    </row>
    <row r="325" spans="1:31" s="494" customFormat="1" ht="16.5" customHeight="1">
      <c r="A325" s="2398" t="s">
        <v>89</v>
      </c>
      <c r="B325" s="2398"/>
      <c r="C325" s="2398"/>
      <c r="D325" s="2398"/>
      <c r="E325" s="2398"/>
      <c r="F325" s="2398"/>
      <c r="G325" s="2398"/>
      <c r="H325" s="2398"/>
      <c r="I325" s="2398"/>
      <c r="J325" s="2398"/>
      <c r="K325" s="2398"/>
      <c r="L325" s="2398"/>
      <c r="M325" s="2398"/>
      <c r="N325" s="2398"/>
      <c r="O325" s="2398"/>
      <c r="P325" s="2398"/>
      <c r="Q325" s="2398"/>
      <c r="R325" s="2398"/>
      <c r="S325" s="2398"/>
      <c r="T325" s="2398"/>
      <c r="U325" s="2398"/>
      <c r="V325" s="2398"/>
      <c r="W325" s="2398"/>
      <c r="X325" s="2398"/>
      <c r="Y325" s="2398"/>
      <c r="Z325" s="2398"/>
      <c r="AA325" s="2398"/>
      <c r="AB325" s="2398"/>
      <c r="AC325" s="1195">
        <f>AVERAGE(AC323:AC324)</f>
        <v>1.1000000000000001</v>
      </c>
      <c r="AD325" s="1195">
        <f>AD322</f>
        <v>1.0610810441851226</v>
      </c>
      <c r="AE325" s="384"/>
    </row>
    <row r="326" spans="1:31" s="498" customFormat="1" ht="51.75" customHeight="1">
      <c r="A326" s="753">
        <v>12</v>
      </c>
      <c r="B326" s="383" t="s">
        <v>1745</v>
      </c>
      <c r="C326" s="623" t="s">
        <v>66</v>
      </c>
      <c r="D326" s="623" t="s">
        <v>196</v>
      </c>
      <c r="E326" s="623" t="s">
        <v>66</v>
      </c>
      <c r="F326" s="383">
        <v>15</v>
      </c>
      <c r="G326" s="383"/>
      <c r="H326" s="383"/>
      <c r="I326" s="1237" t="s">
        <v>1802</v>
      </c>
      <c r="J326" s="383" t="s">
        <v>1803</v>
      </c>
      <c r="K326" s="591">
        <v>1</v>
      </c>
      <c r="L326" s="1266">
        <f>SUM(L327:L371)</f>
        <v>103835000000</v>
      </c>
      <c r="M326" s="1214">
        <v>1</v>
      </c>
      <c r="N326" s="1211">
        <f>SUM(N327:N371)</f>
        <v>108667187428</v>
      </c>
      <c r="O326" s="383"/>
      <c r="P326" s="1211">
        <f>SUM(P327:P371)</f>
        <v>52840683342.5</v>
      </c>
      <c r="Q326" s="1212">
        <v>0.05</v>
      </c>
      <c r="R326" s="1210">
        <f>SUM(R327:R371)</f>
        <v>1970670656</v>
      </c>
      <c r="S326" s="1212"/>
      <c r="T326" s="1210"/>
      <c r="U326" s="1212"/>
      <c r="V326" s="1221"/>
      <c r="W326" s="1214"/>
      <c r="X326" s="1221"/>
      <c r="Y326" s="1214">
        <f t="shared" ref="Y326:Z338" si="126">Q326+S326+U326+W326</f>
        <v>0.05</v>
      </c>
      <c r="Z326" s="1215">
        <f t="shared" si="126"/>
        <v>1970670656</v>
      </c>
      <c r="AA326" s="1214">
        <f t="shared" ref="AA326:AB383" si="127">M326+Y326</f>
        <v>1.05</v>
      </c>
      <c r="AB326" s="1267">
        <f t="shared" si="127"/>
        <v>110637858084</v>
      </c>
      <c r="AC326" s="1214">
        <f>AA326/K326*100%</f>
        <v>1.05</v>
      </c>
      <c r="AD326" s="1216">
        <f t="shared" ref="AD326:AD371" si="128">AB326/L326*100%</f>
        <v>1.0655160406799249</v>
      </c>
      <c r="AE326" s="383"/>
    </row>
    <row r="327" spans="1:31" s="498" customFormat="1" ht="39" customHeight="1">
      <c r="A327" s="383"/>
      <c r="B327" s="383"/>
      <c r="C327" s="623" t="s">
        <v>66</v>
      </c>
      <c r="D327" s="623" t="s">
        <v>196</v>
      </c>
      <c r="E327" s="623" t="s">
        <v>66</v>
      </c>
      <c r="F327" s="383">
        <v>43</v>
      </c>
      <c r="G327" s="1236">
        <v>62</v>
      </c>
      <c r="H327" s="1237"/>
      <c r="I327" s="1200" t="s">
        <v>1804</v>
      </c>
      <c r="J327" s="384" t="s">
        <v>1803</v>
      </c>
      <c r="K327" s="591">
        <v>1</v>
      </c>
      <c r="L327" s="1202">
        <v>35000000000</v>
      </c>
      <c r="M327" s="1214">
        <v>1</v>
      </c>
      <c r="N327" s="1215">
        <v>34209300500</v>
      </c>
      <c r="O327" s="590"/>
      <c r="P327" s="590">
        <v>0</v>
      </c>
      <c r="Q327" s="1195"/>
      <c r="R327" s="590">
        <v>0</v>
      </c>
      <c r="S327" s="1195"/>
      <c r="T327" s="1202"/>
      <c r="U327" s="1195"/>
      <c r="V327" s="1202"/>
      <c r="W327" s="1214"/>
      <c r="X327" s="1221"/>
      <c r="Y327" s="1214">
        <f t="shared" si="126"/>
        <v>0</v>
      </c>
      <c r="Z327" s="1215">
        <f t="shared" si="126"/>
        <v>0</v>
      </c>
      <c r="AA327" s="1195">
        <f t="shared" si="127"/>
        <v>1</v>
      </c>
      <c r="AB327" s="1196">
        <f t="shared" si="127"/>
        <v>34209300500</v>
      </c>
      <c r="AC327" s="1214">
        <f t="shared" ref="AC327:AC371" si="129">AA327/K327*100%</f>
        <v>1</v>
      </c>
      <c r="AD327" s="1216">
        <f t="shared" si="128"/>
        <v>0.97740858571428568</v>
      </c>
      <c r="AE327" s="383"/>
    </row>
    <row r="328" spans="1:31" s="498" customFormat="1" ht="39" customHeight="1">
      <c r="A328" s="383"/>
      <c r="B328" s="383"/>
      <c r="C328" s="623" t="s">
        <v>66</v>
      </c>
      <c r="D328" s="623" t="s">
        <v>196</v>
      </c>
      <c r="E328" s="623" t="s">
        <v>66</v>
      </c>
      <c r="F328" s="383">
        <v>15</v>
      </c>
      <c r="G328" s="1236">
        <v>25</v>
      </c>
      <c r="H328" s="1236"/>
      <c r="I328" s="1200" t="s">
        <v>1805</v>
      </c>
      <c r="J328" s="384" t="s">
        <v>1803</v>
      </c>
      <c r="K328" s="591">
        <v>1</v>
      </c>
      <c r="L328" s="1202">
        <v>35000000000</v>
      </c>
      <c r="M328" s="1214">
        <v>1</v>
      </c>
      <c r="N328" s="1215">
        <v>34209300500</v>
      </c>
      <c r="O328" s="590"/>
      <c r="P328" s="590">
        <v>26001887000</v>
      </c>
      <c r="Q328" s="1195"/>
      <c r="R328" s="590">
        <v>6419064</v>
      </c>
      <c r="S328" s="1195"/>
      <c r="T328" s="1202"/>
      <c r="U328" s="1195"/>
      <c r="V328" s="1202"/>
      <c r="W328" s="1214"/>
      <c r="X328" s="1221"/>
      <c r="Y328" s="1214">
        <f t="shared" si="126"/>
        <v>0</v>
      </c>
      <c r="Z328" s="1215">
        <f t="shared" si="126"/>
        <v>6419064</v>
      </c>
      <c r="AA328" s="1195">
        <f t="shared" si="127"/>
        <v>1</v>
      </c>
      <c r="AB328" s="1196">
        <f t="shared" si="127"/>
        <v>34215719564</v>
      </c>
      <c r="AC328" s="1214">
        <f t="shared" si="129"/>
        <v>1</v>
      </c>
      <c r="AD328" s="1216">
        <f t="shared" si="128"/>
        <v>0.97759198754285714</v>
      </c>
      <c r="AE328" s="383"/>
    </row>
    <row r="329" spans="1:31" s="498" customFormat="1" ht="38.25" customHeight="1">
      <c r="A329" s="383"/>
      <c r="B329" s="383"/>
      <c r="C329" s="623" t="s">
        <v>66</v>
      </c>
      <c r="D329" s="623" t="s">
        <v>196</v>
      </c>
      <c r="E329" s="623" t="s">
        <v>66</v>
      </c>
      <c r="F329" s="383">
        <v>15</v>
      </c>
      <c r="G329" s="1236">
        <v>26</v>
      </c>
      <c r="H329" s="1236"/>
      <c r="I329" s="1200" t="s">
        <v>1806</v>
      </c>
      <c r="J329" s="384" t="s">
        <v>1803</v>
      </c>
      <c r="K329" s="591">
        <v>1</v>
      </c>
      <c r="L329" s="1202">
        <v>2500000000</v>
      </c>
      <c r="M329" s="1214">
        <v>1</v>
      </c>
      <c r="N329" s="1268">
        <v>15075057494</v>
      </c>
      <c r="O329" s="590"/>
      <c r="P329" s="590">
        <v>8814902076</v>
      </c>
      <c r="Q329" s="1195"/>
      <c r="R329" s="590">
        <v>35102546</v>
      </c>
      <c r="S329" s="1195"/>
      <c r="T329" s="1202"/>
      <c r="U329" s="1195"/>
      <c r="V329" s="1202"/>
      <c r="W329" s="1214"/>
      <c r="X329" s="1221"/>
      <c r="Y329" s="1214">
        <f t="shared" si="126"/>
        <v>0</v>
      </c>
      <c r="Z329" s="1215">
        <f t="shared" si="126"/>
        <v>35102546</v>
      </c>
      <c r="AA329" s="1195">
        <f t="shared" si="127"/>
        <v>1</v>
      </c>
      <c r="AB329" s="1196">
        <f t="shared" si="127"/>
        <v>15110160040</v>
      </c>
      <c r="AC329" s="1214">
        <f t="shared" si="129"/>
        <v>1</v>
      </c>
      <c r="AD329" s="1216">
        <f t="shared" si="128"/>
        <v>6.0440640160000001</v>
      </c>
      <c r="AE329" s="383"/>
    </row>
    <row r="330" spans="1:31" s="498" customFormat="1" ht="48.75" customHeight="1">
      <c r="A330" s="383"/>
      <c r="B330" s="383"/>
      <c r="C330" s="623" t="s">
        <v>66</v>
      </c>
      <c r="D330" s="623" t="s">
        <v>196</v>
      </c>
      <c r="E330" s="623" t="s">
        <v>66</v>
      </c>
      <c r="F330" s="383">
        <v>15</v>
      </c>
      <c r="G330" s="1256" t="s">
        <v>161</v>
      </c>
      <c r="H330" s="1236"/>
      <c r="I330" s="1200" t="s">
        <v>1807</v>
      </c>
      <c r="J330" s="384" t="s">
        <v>1808</v>
      </c>
      <c r="K330" s="591">
        <v>1</v>
      </c>
      <c r="L330" s="1202">
        <v>5300000000</v>
      </c>
      <c r="M330" s="1214">
        <v>0.45540000000000003</v>
      </c>
      <c r="N330" s="1268">
        <v>951976100</v>
      </c>
      <c r="O330" s="590"/>
      <c r="P330" s="590">
        <v>5840771180</v>
      </c>
      <c r="Q330" s="1195">
        <v>0.25</v>
      </c>
      <c r="R330" s="590">
        <v>1795216465</v>
      </c>
      <c r="S330" s="1195"/>
      <c r="T330" s="1202"/>
      <c r="U330" s="1195"/>
      <c r="V330" s="1202"/>
      <c r="W330" s="1214"/>
      <c r="X330" s="1221"/>
      <c r="Y330" s="1214">
        <f t="shared" si="126"/>
        <v>0.25</v>
      </c>
      <c r="Z330" s="1215">
        <f t="shared" si="126"/>
        <v>1795216465</v>
      </c>
      <c r="AA330" s="1214">
        <f t="shared" si="127"/>
        <v>0.70540000000000003</v>
      </c>
      <c r="AB330" s="1215">
        <f t="shared" si="127"/>
        <v>2747192565</v>
      </c>
      <c r="AC330" s="1214">
        <f t="shared" si="129"/>
        <v>0.70540000000000003</v>
      </c>
      <c r="AD330" s="1216">
        <f t="shared" si="128"/>
        <v>0.51833821981132078</v>
      </c>
      <c r="AE330" s="383" t="s">
        <v>1809</v>
      </c>
    </row>
    <row r="331" spans="1:31" s="498" customFormat="1" ht="34.5" customHeight="1">
      <c r="A331" s="383"/>
      <c r="B331" s="383"/>
      <c r="C331" s="623" t="s">
        <v>66</v>
      </c>
      <c r="D331" s="623" t="s">
        <v>196</v>
      </c>
      <c r="E331" s="623" t="s">
        <v>66</v>
      </c>
      <c r="F331" s="383">
        <v>43</v>
      </c>
      <c r="G331" s="1256">
        <v>64</v>
      </c>
      <c r="H331" s="1237"/>
      <c r="I331" s="1200" t="s">
        <v>1810</v>
      </c>
      <c r="J331" s="384" t="s">
        <v>1811</v>
      </c>
      <c r="K331" s="591">
        <v>1</v>
      </c>
      <c r="L331" s="1202">
        <v>500000000</v>
      </c>
      <c r="M331" s="1214">
        <v>1</v>
      </c>
      <c r="N331" s="1268">
        <v>689695000</v>
      </c>
      <c r="O331" s="590"/>
      <c r="P331" s="590">
        <v>0</v>
      </c>
      <c r="Q331" s="1195"/>
      <c r="R331" s="590"/>
      <c r="S331" s="1195"/>
      <c r="T331" s="1202"/>
      <c r="U331" s="1195"/>
      <c r="V331" s="1202"/>
      <c r="W331" s="1214"/>
      <c r="X331" s="1221"/>
      <c r="Y331" s="1214">
        <f t="shared" si="126"/>
        <v>0</v>
      </c>
      <c r="Z331" s="1215">
        <f t="shared" si="126"/>
        <v>0</v>
      </c>
      <c r="AA331" s="1195">
        <f t="shared" si="127"/>
        <v>1</v>
      </c>
      <c r="AB331" s="1196">
        <f t="shared" si="127"/>
        <v>689695000</v>
      </c>
      <c r="AC331" s="1214">
        <f t="shared" si="129"/>
        <v>1</v>
      </c>
      <c r="AD331" s="1216">
        <f t="shared" si="128"/>
        <v>1.3793899999999999</v>
      </c>
      <c r="AE331" s="383"/>
    </row>
    <row r="332" spans="1:31" s="498" customFormat="1" ht="34.5" customHeight="1">
      <c r="A332" s="383"/>
      <c r="B332" s="383"/>
      <c r="C332" s="623" t="s">
        <v>66</v>
      </c>
      <c r="D332" s="623" t="s">
        <v>196</v>
      </c>
      <c r="E332" s="623" t="s">
        <v>66</v>
      </c>
      <c r="F332" s="383">
        <v>15</v>
      </c>
      <c r="G332" s="1236">
        <v>24</v>
      </c>
      <c r="H332" s="1236"/>
      <c r="I332" s="1200" t="s">
        <v>1812</v>
      </c>
      <c r="J332" s="384" t="s">
        <v>1811</v>
      </c>
      <c r="K332" s="591">
        <v>1</v>
      </c>
      <c r="L332" s="1202">
        <v>500000000</v>
      </c>
      <c r="M332" s="1214"/>
      <c r="N332" s="1268"/>
      <c r="O332" s="590">
        <v>100</v>
      </c>
      <c r="P332" s="590">
        <v>474461332.75</v>
      </c>
      <c r="Q332" s="1195"/>
      <c r="R332" s="590">
        <v>7906022</v>
      </c>
      <c r="S332" s="1195"/>
      <c r="T332" s="1202"/>
      <c r="U332" s="1195"/>
      <c r="V332" s="1202"/>
      <c r="W332" s="1214"/>
      <c r="X332" s="1221"/>
      <c r="Y332" s="1214">
        <f t="shared" si="126"/>
        <v>0</v>
      </c>
      <c r="Z332" s="1215">
        <f t="shared" si="126"/>
        <v>7906022</v>
      </c>
      <c r="AA332" s="1195">
        <f t="shared" si="127"/>
        <v>0</v>
      </c>
      <c r="AB332" s="1196">
        <f t="shared" si="127"/>
        <v>7906022</v>
      </c>
      <c r="AC332" s="1214">
        <f t="shared" si="129"/>
        <v>0</v>
      </c>
      <c r="AD332" s="1216">
        <f t="shared" si="128"/>
        <v>1.5812044000000001E-2</v>
      </c>
      <c r="AE332" s="383"/>
    </row>
    <row r="333" spans="1:31" s="498" customFormat="1" ht="34.5" customHeight="1">
      <c r="A333" s="383"/>
      <c r="B333" s="383"/>
      <c r="C333" s="623" t="s">
        <v>66</v>
      </c>
      <c r="D333" s="623" t="s">
        <v>196</v>
      </c>
      <c r="E333" s="623" t="s">
        <v>66</v>
      </c>
      <c r="F333" s="383">
        <v>15</v>
      </c>
      <c r="G333" s="1256" t="s">
        <v>95</v>
      </c>
      <c r="H333" s="1236"/>
      <c r="I333" s="1264" t="s">
        <v>1813</v>
      </c>
      <c r="J333" s="384" t="s">
        <v>1814</v>
      </c>
      <c r="K333" s="591">
        <v>1</v>
      </c>
      <c r="L333" s="1202">
        <v>950000000</v>
      </c>
      <c r="M333" s="1214">
        <v>1</v>
      </c>
      <c r="N333" s="1268">
        <v>3332782660</v>
      </c>
      <c r="O333" s="590">
        <v>100</v>
      </c>
      <c r="P333" s="590">
        <v>175192152</v>
      </c>
      <c r="Q333" s="1195"/>
      <c r="R333" s="590">
        <v>0</v>
      </c>
      <c r="S333" s="1195"/>
      <c r="T333" s="1202"/>
      <c r="U333" s="1195"/>
      <c r="V333" s="1202"/>
      <c r="W333" s="1214"/>
      <c r="X333" s="1221"/>
      <c r="Y333" s="1214">
        <f t="shared" si="126"/>
        <v>0</v>
      </c>
      <c r="Z333" s="1215">
        <f t="shared" si="126"/>
        <v>0</v>
      </c>
      <c r="AA333" s="1195">
        <f t="shared" si="127"/>
        <v>1</v>
      </c>
      <c r="AB333" s="1196">
        <f t="shared" si="127"/>
        <v>3332782660</v>
      </c>
      <c r="AC333" s="1214">
        <f t="shared" si="129"/>
        <v>1</v>
      </c>
      <c r="AD333" s="1216">
        <f t="shared" si="128"/>
        <v>3.5081922736842106</v>
      </c>
      <c r="AE333" s="383"/>
    </row>
    <row r="334" spans="1:31" s="498" customFormat="1" ht="34.5" customHeight="1">
      <c r="A334" s="383"/>
      <c r="B334" s="383"/>
      <c r="C334" s="623" t="s">
        <v>66</v>
      </c>
      <c r="D334" s="623" t="s">
        <v>196</v>
      </c>
      <c r="E334" s="623" t="s">
        <v>66</v>
      </c>
      <c r="F334" s="383">
        <v>15</v>
      </c>
      <c r="G334" s="1256" t="s">
        <v>196</v>
      </c>
      <c r="H334" s="1236"/>
      <c r="I334" s="1200" t="s">
        <v>1815</v>
      </c>
      <c r="J334" s="384" t="s">
        <v>1803</v>
      </c>
      <c r="K334" s="591">
        <v>1</v>
      </c>
      <c r="L334" s="1202">
        <v>700000000</v>
      </c>
      <c r="M334" s="1214"/>
      <c r="N334" s="1268"/>
      <c r="O334" s="590">
        <v>100</v>
      </c>
      <c r="P334" s="590">
        <v>690207163.5</v>
      </c>
      <c r="Q334" s="1195">
        <v>0.22</v>
      </c>
      <c r="R334" s="590">
        <v>0</v>
      </c>
      <c r="S334" s="1195"/>
      <c r="T334" s="1202"/>
      <c r="U334" s="1195"/>
      <c r="V334" s="1202"/>
      <c r="W334" s="1214"/>
      <c r="X334" s="1221"/>
      <c r="Y334" s="1214">
        <f t="shared" si="126"/>
        <v>0.22</v>
      </c>
      <c r="Z334" s="1215">
        <f t="shared" si="126"/>
        <v>0</v>
      </c>
      <c r="AA334" s="1195">
        <f t="shared" si="127"/>
        <v>0.22</v>
      </c>
      <c r="AB334" s="1196">
        <f t="shared" si="127"/>
        <v>0</v>
      </c>
      <c r="AC334" s="1214">
        <f t="shared" si="129"/>
        <v>0.22</v>
      </c>
      <c r="AD334" s="1216">
        <f t="shared" si="128"/>
        <v>0</v>
      </c>
      <c r="AE334" s="383"/>
    </row>
    <row r="335" spans="1:31" s="498" customFormat="1" ht="34.5" customHeight="1">
      <c r="A335" s="383"/>
      <c r="B335" s="383"/>
      <c r="C335" s="623" t="s">
        <v>66</v>
      </c>
      <c r="D335" s="623" t="s">
        <v>196</v>
      </c>
      <c r="E335" s="623" t="s">
        <v>66</v>
      </c>
      <c r="F335" s="383">
        <v>43</v>
      </c>
      <c r="G335" s="1269">
        <v>67</v>
      </c>
      <c r="H335" s="1237"/>
      <c r="I335" s="1263" t="s">
        <v>1816</v>
      </c>
      <c r="J335" s="384" t="s">
        <v>1803</v>
      </c>
      <c r="K335" s="591">
        <v>1</v>
      </c>
      <c r="L335" s="1202">
        <v>1000000000</v>
      </c>
      <c r="M335" s="383"/>
      <c r="N335" s="1268">
        <v>1869400</v>
      </c>
      <c r="O335" s="590"/>
      <c r="P335" s="590">
        <v>0</v>
      </c>
      <c r="Q335" s="1195"/>
      <c r="R335" s="590"/>
      <c r="S335" s="1195"/>
      <c r="T335" s="1202"/>
      <c r="U335" s="1195"/>
      <c r="V335" s="1202"/>
      <c r="W335" s="1214"/>
      <c r="X335" s="1221"/>
      <c r="Y335" s="1214">
        <v>0</v>
      </c>
      <c r="Z335" s="1215">
        <f t="shared" si="126"/>
        <v>0</v>
      </c>
      <c r="AA335" s="1195">
        <f t="shared" si="127"/>
        <v>0</v>
      </c>
      <c r="AB335" s="1196">
        <f t="shared" si="127"/>
        <v>1869400</v>
      </c>
      <c r="AC335" s="1214">
        <f t="shared" si="129"/>
        <v>0</v>
      </c>
      <c r="AD335" s="1216">
        <f t="shared" si="128"/>
        <v>1.8694E-3</v>
      </c>
      <c r="AE335" s="383" t="s">
        <v>1817</v>
      </c>
    </row>
    <row r="336" spans="1:31" s="498" customFormat="1" ht="42" customHeight="1">
      <c r="A336" s="383"/>
      <c r="B336" s="383"/>
      <c r="C336" s="623" t="s">
        <v>66</v>
      </c>
      <c r="D336" s="623" t="s">
        <v>196</v>
      </c>
      <c r="E336" s="623" t="s">
        <v>66</v>
      </c>
      <c r="F336" s="383">
        <v>15</v>
      </c>
      <c r="G336" s="1256" t="s">
        <v>198</v>
      </c>
      <c r="H336" s="1236"/>
      <c r="I336" s="1263" t="s">
        <v>1818</v>
      </c>
      <c r="J336" s="384" t="s">
        <v>1803</v>
      </c>
      <c r="K336" s="591">
        <v>1</v>
      </c>
      <c r="L336" s="1202">
        <v>1200000000</v>
      </c>
      <c r="M336" s="1214">
        <v>1</v>
      </c>
      <c r="N336" s="1268">
        <v>1838862920</v>
      </c>
      <c r="O336" s="590"/>
      <c r="P336" s="590">
        <v>634214550</v>
      </c>
      <c r="Q336" s="1195"/>
      <c r="R336" s="590">
        <v>2687500</v>
      </c>
      <c r="S336" s="1195"/>
      <c r="T336" s="1202"/>
      <c r="U336" s="1195"/>
      <c r="V336" s="1202"/>
      <c r="W336" s="1214"/>
      <c r="X336" s="1221"/>
      <c r="Y336" s="1214">
        <f t="shared" ref="Y336:Z353" si="130">Q336+S336+U336+W336</f>
        <v>0</v>
      </c>
      <c r="Z336" s="1215">
        <f t="shared" si="126"/>
        <v>2687500</v>
      </c>
      <c r="AA336" s="1195">
        <f t="shared" si="127"/>
        <v>1</v>
      </c>
      <c r="AB336" s="1196">
        <f t="shared" si="127"/>
        <v>1841550420</v>
      </c>
      <c r="AC336" s="1214">
        <f t="shared" si="129"/>
        <v>1</v>
      </c>
      <c r="AD336" s="1216">
        <f t="shared" si="128"/>
        <v>1.53462535</v>
      </c>
      <c r="AE336" s="383"/>
    </row>
    <row r="337" spans="1:31" s="498" customFormat="1" ht="42" customHeight="1">
      <c r="A337" s="383"/>
      <c r="B337" s="383"/>
      <c r="C337" s="623" t="s">
        <v>66</v>
      </c>
      <c r="D337" s="623" t="s">
        <v>196</v>
      </c>
      <c r="E337" s="623" t="s">
        <v>66</v>
      </c>
      <c r="F337" s="383">
        <v>15</v>
      </c>
      <c r="G337" s="1256" t="s">
        <v>93</v>
      </c>
      <c r="H337" s="1236"/>
      <c r="I337" s="1263" t="s">
        <v>1819</v>
      </c>
      <c r="J337" s="384" t="s">
        <v>1803</v>
      </c>
      <c r="K337" s="591">
        <v>1</v>
      </c>
      <c r="L337" s="1202">
        <v>1800000000</v>
      </c>
      <c r="M337" s="1214">
        <v>1</v>
      </c>
      <c r="N337" s="1268">
        <v>1588811520</v>
      </c>
      <c r="O337" s="590"/>
      <c r="P337" s="590">
        <v>2190500000</v>
      </c>
      <c r="Q337" s="1195"/>
      <c r="R337" s="590">
        <v>0</v>
      </c>
      <c r="S337" s="1195"/>
      <c r="T337" s="1202"/>
      <c r="U337" s="1195"/>
      <c r="V337" s="1202"/>
      <c r="W337" s="1214"/>
      <c r="X337" s="1221"/>
      <c r="Y337" s="1214">
        <f t="shared" si="130"/>
        <v>0</v>
      </c>
      <c r="Z337" s="1215">
        <f t="shared" si="126"/>
        <v>0</v>
      </c>
      <c r="AA337" s="1195">
        <f t="shared" si="127"/>
        <v>1</v>
      </c>
      <c r="AB337" s="1196">
        <f t="shared" si="127"/>
        <v>1588811520</v>
      </c>
      <c r="AC337" s="1214">
        <f t="shared" si="129"/>
        <v>1</v>
      </c>
      <c r="AD337" s="1216">
        <f t="shared" si="128"/>
        <v>0.88267306666666667</v>
      </c>
      <c r="AE337" s="383"/>
    </row>
    <row r="338" spans="1:31" s="498" customFormat="1" ht="48.75" customHeight="1">
      <c r="A338" s="383"/>
      <c r="B338" s="383"/>
      <c r="C338" s="623" t="s">
        <v>66</v>
      </c>
      <c r="D338" s="623" t="s">
        <v>196</v>
      </c>
      <c r="E338" s="623" t="s">
        <v>66</v>
      </c>
      <c r="F338" s="383">
        <v>15</v>
      </c>
      <c r="G338" s="1256" t="s">
        <v>201</v>
      </c>
      <c r="H338" s="1236"/>
      <c r="I338" s="1263" t="s">
        <v>1820</v>
      </c>
      <c r="J338" s="384" t="s">
        <v>1803</v>
      </c>
      <c r="K338" s="591">
        <v>1</v>
      </c>
      <c r="L338" s="1202">
        <v>550000000</v>
      </c>
      <c r="M338" s="1214">
        <v>1</v>
      </c>
      <c r="N338" s="1268">
        <v>776689000</v>
      </c>
      <c r="O338" s="590"/>
      <c r="P338" s="590">
        <v>361500000</v>
      </c>
      <c r="Q338" s="1195"/>
      <c r="R338" s="590">
        <v>0</v>
      </c>
      <c r="S338" s="1195"/>
      <c r="T338" s="1202"/>
      <c r="U338" s="1195"/>
      <c r="V338" s="1202"/>
      <c r="W338" s="1214"/>
      <c r="X338" s="1221"/>
      <c r="Y338" s="1214">
        <f t="shared" si="130"/>
        <v>0</v>
      </c>
      <c r="Z338" s="1215">
        <f t="shared" si="126"/>
        <v>0</v>
      </c>
      <c r="AA338" s="1195">
        <f t="shared" si="127"/>
        <v>1</v>
      </c>
      <c r="AB338" s="1196">
        <f t="shared" si="127"/>
        <v>776689000</v>
      </c>
      <c r="AC338" s="1214">
        <f t="shared" si="129"/>
        <v>1</v>
      </c>
      <c r="AD338" s="1216">
        <f t="shared" si="128"/>
        <v>1.4121618181818181</v>
      </c>
      <c r="AE338" s="383"/>
    </row>
    <row r="339" spans="1:31" s="498" customFormat="1" ht="38.25" customHeight="1">
      <c r="A339" s="383"/>
      <c r="B339" s="383"/>
      <c r="C339" s="623" t="s">
        <v>66</v>
      </c>
      <c r="D339" s="623" t="s">
        <v>196</v>
      </c>
      <c r="E339" s="623" t="s">
        <v>66</v>
      </c>
      <c r="F339" s="383">
        <v>15</v>
      </c>
      <c r="G339" s="1236">
        <v>10</v>
      </c>
      <c r="H339" s="1236"/>
      <c r="I339" s="1263" t="s">
        <v>1821</v>
      </c>
      <c r="J339" s="384" t="s">
        <v>1803</v>
      </c>
      <c r="K339" s="591">
        <v>1</v>
      </c>
      <c r="L339" s="1202">
        <v>2000000000</v>
      </c>
      <c r="M339" s="1214">
        <v>0.99770000000000003</v>
      </c>
      <c r="N339" s="1268">
        <v>2230839976</v>
      </c>
      <c r="O339" s="590"/>
      <c r="P339" s="590">
        <v>1707973702.5</v>
      </c>
      <c r="Q339" s="1195">
        <v>6.4500000000000002E-2</v>
      </c>
      <c r="R339" s="590">
        <v>630000</v>
      </c>
      <c r="S339" s="1195"/>
      <c r="T339" s="1202"/>
      <c r="U339" s="1195"/>
      <c r="V339" s="1202"/>
      <c r="W339" s="1214"/>
      <c r="X339" s="1221"/>
      <c r="Y339" s="1214">
        <f t="shared" si="130"/>
        <v>6.4500000000000002E-2</v>
      </c>
      <c r="Z339" s="1215">
        <f t="shared" si="130"/>
        <v>630000</v>
      </c>
      <c r="AA339" s="1195">
        <f t="shared" si="127"/>
        <v>1.0622</v>
      </c>
      <c r="AB339" s="1196">
        <f t="shared" si="127"/>
        <v>2231469976</v>
      </c>
      <c r="AC339" s="1214">
        <f t="shared" si="129"/>
        <v>1.0622</v>
      </c>
      <c r="AD339" s="1216">
        <f t="shared" si="128"/>
        <v>1.115734988</v>
      </c>
      <c r="AE339" s="383"/>
    </row>
    <row r="340" spans="1:31" s="498" customFormat="1" ht="40.5" customHeight="1">
      <c r="A340" s="383"/>
      <c r="B340" s="383"/>
      <c r="C340" s="623" t="s">
        <v>66</v>
      </c>
      <c r="D340" s="623" t="s">
        <v>196</v>
      </c>
      <c r="E340" s="623" t="s">
        <v>66</v>
      </c>
      <c r="F340" s="383">
        <v>15</v>
      </c>
      <c r="G340" s="1236">
        <v>11</v>
      </c>
      <c r="H340" s="1236"/>
      <c r="I340" s="1263" t="s">
        <v>1822</v>
      </c>
      <c r="J340" s="384" t="s">
        <v>1803</v>
      </c>
      <c r="K340" s="591">
        <v>1</v>
      </c>
      <c r="L340" s="1202">
        <v>1200000000</v>
      </c>
      <c r="M340" s="1214">
        <v>0.85229999999999995</v>
      </c>
      <c r="N340" s="1268">
        <v>875367460</v>
      </c>
      <c r="O340" s="590"/>
      <c r="P340" s="590">
        <v>1221500000</v>
      </c>
      <c r="Q340" s="1195">
        <v>0.02</v>
      </c>
      <c r="R340" s="590">
        <v>1675000</v>
      </c>
      <c r="S340" s="1195"/>
      <c r="T340" s="1202"/>
      <c r="U340" s="1195"/>
      <c r="V340" s="1202"/>
      <c r="W340" s="1214"/>
      <c r="X340" s="1221"/>
      <c r="Y340" s="1214">
        <f t="shared" si="130"/>
        <v>0.02</v>
      </c>
      <c r="Z340" s="1215">
        <f t="shared" si="130"/>
        <v>1675000</v>
      </c>
      <c r="AA340" s="1195">
        <f t="shared" si="127"/>
        <v>0.87229999999999996</v>
      </c>
      <c r="AB340" s="1196">
        <f t="shared" si="127"/>
        <v>877042460</v>
      </c>
      <c r="AC340" s="1214">
        <f t="shared" si="129"/>
        <v>0.87229999999999996</v>
      </c>
      <c r="AD340" s="1216">
        <f t="shared" si="128"/>
        <v>0.73086871666666664</v>
      </c>
      <c r="AE340" s="383"/>
    </row>
    <row r="341" spans="1:31" s="498" customFormat="1" ht="40.5" customHeight="1">
      <c r="A341" s="383"/>
      <c r="B341" s="383"/>
      <c r="C341" s="623" t="s">
        <v>66</v>
      </c>
      <c r="D341" s="623" t="s">
        <v>196</v>
      </c>
      <c r="E341" s="623" t="s">
        <v>66</v>
      </c>
      <c r="F341" s="383">
        <v>15</v>
      </c>
      <c r="G341" s="1236">
        <v>12</v>
      </c>
      <c r="H341" s="1236"/>
      <c r="I341" s="1263" t="s">
        <v>1823</v>
      </c>
      <c r="J341" s="384" t="s">
        <v>1803</v>
      </c>
      <c r="K341" s="591">
        <v>1</v>
      </c>
      <c r="L341" s="1202">
        <v>1200000000</v>
      </c>
      <c r="M341" s="1214">
        <v>0.97529999999999994</v>
      </c>
      <c r="N341" s="1268">
        <v>1892245120</v>
      </c>
      <c r="O341" s="590"/>
      <c r="P341" s="590">
        <v>246452744</v>
      </c>
      <c r="Q341" s="1195"/>
      <c r="R341" s="590">
        <v>610000</v>
      </c>
      <c r="S341" s="1195"/>
      <c r="T341" s="1202"/>
      <c r="U341" s="1195"/>
      <c r="V341" s="1202"/>
      <c r="W341" s="1214"/>
      <c r="X341" s="1221"/>
      <c r="Y341" s="1214">
        <f t="shared" si="130"/>
        <v>0</v>
      </c>
      <c r="Z341" s="1215">
        <f t="shared" si="130"/>
        <v>610000</v>
      </c>
      <c r="AA341" s="1195">
        <f t="shared" si="127"/>
        <v>0.97529999999999994</v>
      </c>
      <c r="AB341" s="1196">
        <f t="shared" si="127"/>
        <v>1892855120</v>
      </c>
      <c r="AC341" s="1214">
        <f t="shared" si="129"/>
        <v>0.97529999999999994</v>
      </c>
      <c r="AD341" s="1216">
        <f t="shared" si="128"/>
        <v>1.5773792666666666</v>
      </c>
      <c r="AE341" s="383"/>
    </row>
    <row r="342" spans="1:31" s="498" customFormat="1" ht="40.5" customHeight="1">
      <c r="A342" s="383"/>
      <c r="B342" s="383"/>
      <c r="C342" s="623" t="s">
        <v>66</v>
      </c>
      <c r="D342" s="623" t="s">
        <v>196</v>
      </c>
      <c r="E342" s="623" t="s">
        <v>66</v>
      </c>
      <c r="F342" s="383">
        <v>15</v>
      </c>
      <c r="G342" s="1236">
        <v>13</v>
      </c>
      <c r="H342" s="1236"/>
      <c r="I342" s="1263" t="s">
        <v>1824</v>
      </c>
      <c r="J342" s="384" t="s">
        <v>1803</v>
      </c>
      <c r="K342" s="591">
        <v>1</v>
      </c>
      <c r="L342" s="1202">
        <v>2050000000</v>
      </c>
      <c r="M342" s="1214">
        <v>0.9788</v>
      </c>
      <c r="N342" s="1268">
        <v>2613216772</v>
      </c>
      <c r="O342" s="590"/>
      <c r="P342" s="590">
        <v>898555629.5</v>
      </c>
      <c r="Q342" s="1195">
        <v>0.02</v>
      </c>
      <c r="R342" s="590">
        <v>875000</v>
      </c>
      <c r="S342" s="1195"/>
      <c r="T342" s="1202"/>
      <c r="U342" s="1195"/>
      <c r="V342" s="1202"/>
      <c r="W342" s="1214"/>
      <c r="X342" s="1221"/>
      <c r="Y342" s="1214">
        <f t="shared" si="130"/>
        <v>0.02</v>
      </c>
      <c r="Z342" s="1215">
        <f t="shared" si="130"/>
        <v>875000</v>
      </c>
      <c r="AA342" s="1195">
        <f t="shared" si="127"/>
        <v>0.99880000000000002</v>
      </c>
      <c r="AB342" s="1196">
        <f t="shared" si="127"/>
        <v>2614091772</v>
      </c>
      <c r="AC342" s="1214">
        <f t="shared" si="129"/>
        <v>0.99880000000000002</v>
      </c>
      <c r="AD342" s="1216">
        <f t="shared" si="128"/>
        <v>1.2751667180487805</v>
      </c>
      <c r="AE342" s="383"/>
    </row>
    <row r="343" spans="1:31" s="498" customFormat="1" ht="42.75" customHeight="1">
      <c r="A343" s="383"/>
      <c r="B343" s="383"/>
      <c r="C343" s="623" t="s">
        <v>66</v>
      </c>
      <c r="D343" s="623" t="s">
        <v>196</v>
      </c>
      <c r="E343" s="623" t="s">
        <v>66</v>
      </c>
      <c r="F343" s="383">
        <v>15</v>
      </c>
      <c r="G343" s="1236">
        <v>14</v>
      </c>
      <c r="H343" s="1236"/>
      <c r="I343" s="1263" t="s">
        <v>1825</v>
      </c>
      <c r="J343" s="384" t="s">
        <v>1803</v>
      </c>
      <c r="K343" s="591">
        <v>1</v>
      </c>
      <c r="L343" s="1202">
        <v>1350000000</v>
      </c>
      <c r="M343" s="1214">
        <v>1</v>
      </c>
      <c r="N343" s="1268">
        <v>1094605048</v>
      </c>
      <c r="O343" s="590"/>
      <c r="P343" s="590">
        <v>295462438</v>
      </c>
      <c r="Q343" s="1195"/>
      <c r="R343" s="590">
        <v>987500</v>
      </c>
      <c r="S343" s="1195"/>
      <c r="T343" s="1202"/>
      <c r="U343" s="1195"/>
      <c r="V343" s="1202"/>
      <c r="W343" s="1214"/>
      <c r="X343" s="1221"/>
      <c r="Y343" s="1214">
        <f t="shared" si="130"/>
        <v>0</v>
      </c>
      <c r="Z343" s="1215">
        <f t="shared" si="130"/>
        <v>987500</v>
      </c>
      <c r="AA343" s="1195">
        <f t="shared" si="127"/>
        <v>1</v>
      </c>
      <c r="AB343" s="1196">
        <f t="shared" si="127"/>
        <v>1095592548</v>
      </c>
      <c r="AC343" s="1214">
        <f t="shared" si="129"/>
        <v>1</v>
      </c>
      <c r="AD343" s="1216">
        <f t="shared" si="128"/>
        <v>0.8115500355555556</v>
      </c>
      <c r="AE343" s="383"/>
    </row>
    <row r="344" spans="1:31" s="498" customFormat="1" ht="44.25" customHeight="1">
      <c r="A344" s="383"/>
      <c r="B344" s="383"/>
      <c r="C344" s="623" t="s">
        <v>66</v>
      </c>
      <c r="D344" s="623" t="s">
        <v>196</v>
      </c>
      <c r="E344" s="623" t="s">
        <v>66</v>
      </c>
      <c r="F344" s="383">
        <v>15</v>
      </c>
      <c r="G344" s="1236">
        <v>15</v>
      </c>
      <c r="H344" s="1236"/>
      <c r="I344" s="1263" t="s">
        <v>1826</v>
      </c>
      <c r="J344" s="384" t="s">
        <v>1803</v>
      </c>
      <c r="K344" s="591">
        <v>1</v>
      </c>
      <c r="L344" s="1202">
        <v>1300000000</v>
      </c>
      <c r="M344" s="1214">
        <v>1</v>
      </c>
      <c r="N344" s="1268">
        <v>879674500</v>
      </c>
      <c r="O344" s="590"/>
      <c r="P344" s="590">
        <v>744000000</v>
      </c>
      <c r="Q344" s="1195"/>
      <c r="R344" s="590">
        <v>1037500</v>
      </c>
      <c r="S344" s="1195"/>
      <c r="T344" s="1202"/>
      <c r="U344" s="1195"/>
      <c r="V344" s="1202"/>
      <c r="W344" s="1214"/>
      <c r="X344" s="1221"/>
      <c r="Y344" s="1214">
        <f t="shared" si="130"/>
        <v>0</v>
      </c>
      <c r="Z344" s="1215">
        <f t="shared" si="130"/>
        <v>1037500</v>
      </c>
      <c r="AA344" s="1195">
        <f t="shared" si="127"/>
        <v>1</v>
      </c>
      <c r="AB344" s="1196">
        <f t="shared" si="127"/>
        <v>880712000</v>
      </c>
      <c r="AC344" s="1214">
        <f t="shared" si="129"/>
        <v>1</v>
      </c>
      <c r="AD344" s="1216">
        <f t="shared" si="128"/>
        <v>0.67747076923076921</v>
      </c>
      <c r="AE344" s="383"/>
    </row>
    <row r="345" spans="1:31" s="498" customFormat="1" ht="38.25" customHeight="1">
      <c r="A345" s="383"/>
      <c r="B345" s="383"/>
      <c r="C345" s="623" t="s">
        <v>66</v>
      </c>
      <c r="D345" s="623" t="s">
        <v>196</v>
      </c>
      <c r="E345" s="623" t="s">
        <v>66</v>
      </c>
      <c r="F345" s="383">
        <v>15</v>
      </c>
      <c r="G345" s="1236">
        <v>16</v>
      </c>
      <c r="H345" s="1236"/>
      <c r="I345" s="1263" t="s">
        <v>1827</v>
      </c>
      <c r="J345" s="384" t="s">
        <v>1803</v>
      </c>
      <c r="K345" s="591">
        <v>1</v>
      </c>
      <c r="L345" s="1202">
        <v>400000000</v>
      </c>
      <c r="M345" s="1214">
        <v>1</v>
      </c>
      <c r="N345" s="1270">
        <v>142410000</v>
      </c>
      <c r="O345" s="590"/>
      <c r="P345" s="590">
        <v>147000000</v>
      </c>
      <c r="Q345" s="1195"/>
      <c r="R345" s="590">
        <v>0</v>
      </c>
      <c r="S345" s="1195"/>
      <c r="T345" s="1202"/>
      <c r="U345" s="1195"/>
      <c r="V345" s="1202"/>
      <c r="W345" s="1214"/>
      <c r="X345" s="1221"/>
      <c r="Y345" s="1214">
        <f t="shared" si="130"/>
        <v>0</v>
      </c>
      <c r="Z345" s="1215">
        <f t="shared" si="130"/>
        <v>0</v>
      </c>
      <c r="AA345" s="1195">
        <f t="shared" si="127"/>
        <v>1</v>
      </c>
      <c r="AB345" s="1196">
        <f t="shared" si="127"/>
        <v>142410000</v>
      </c>
      <c r="AC345" s="1214">
        <f t="shared" si="129"/>
        <v>1</v>
      </c>
      <c r="AD345" s="1216">
        <f t="shared" si="128"/>
        <v>0.35602499999999998</v>
      </c>
      <c r="AE345" s="383"/>
    </row>
    <row r="346" spans="1:31" s="498" customFormat="1" ht="42" customHeight="1">
      <c r="A346" s="383"/>
      <c r="B346" s="383"/>
      <c r="C346" s="623" t="s">
        <v>66</v>
      </c>
      <c r="D346" s="623" t="s">
        <v>196</v>
      </c>
      <c r="E346" s="623" t="s">
        <v>66</v>
      </c>
      <c r="F346" s="383">
        <v>15</v>
      </c>
      <c r="G346" s="1236">
        <v>17</v>
      </c>
      <c r="H346" s="1236"/>
      <c r="I346" s="1263" t="s">
        <v>1828</v>
      </c>
      <c r="J346" s="384" t="s">
        <v>1803</v>
      </c>
      <c r="K346" s="591">
        <v>1</v>
      </c>
      <c r="L346" s="1202">
        <v>750000000</v>
      </c>
      <c r="M346" s="1214">
        <v>0.66</v>
      </c>
      <c r="N346" s="1268">
        <v>228741000</v>
      </c>
      <c r="O346" s="590"/>
      <c r="P346" s="590">
        <v>490308938</v>
      </c>
      <c r="Q346" s="1195"/>
      <c r="R346" s="590">
        <v>0</v>
      </c>
      <c r="S346" s="1195"/>
      <c r="T346" s="1202"/>
      <c r="U346" s="1195"/>
      <c r="V346" s="1202"/>
      <c r="W346" s="1214"/>
      <c r="X346" s="1221"/>
      <c r="Y346" s="1214">
        <f t="shared" si="130"/>
        <v>0</v>
      </c>
      <c r="Z346" s="1215">
        <f t="shared" si="130"/>
        <v>0</v>
      </c>
      <c r="AA346" s="1195">
        <f t="shared" si="127"/>
        <v>0.66</v>
      </c>
      <c r="AB346" s="1196">
        <f t="shared" si="127"/>
        <v>228741000</v>
      </c>
      <c r="AC346" s="1214">
        <f t="shared" si="129"/>
        <v>0.66</v>
      </c>
      <c r="AD346" s="1216">
        <f t="shared" si="128"/>
        <v>0.30498799999999998</v>
      </c>
      <c r="AE346" s="383"/>
    </row>
    <row r="347" spans="1:31" s="498" customFormat="1" ht="41.25" customHeight="1">
      <c r="A347" s="383"/>
      <c r="B347" s="383"/>
      <c r="C347" s="623" t="s">
        <v>66</v>
      </c>
      <c r="D347" s="623" t="s">
        <v>196</v>
      </c>
      <c r="E347" s="623" t="s">
        <v>66</v>
      </c>
      <c r="F347" s="383">
        <v>15</v>
      </c>
      <c r="G347" s="1236">
        <v>18</v>
      </c>
      <c r="H347" s="1236"/>
      <c r="I347" s="1263" t="s">
        <v>1829</v>
      </c>
      <c r="J347" s="384" t="s">
        <v>1803</v>
      </c>
      <c r="K347" s="591">
        <v>1</v>
      </c>
      <c r="L347" s="1202">
        <v>400000000</v>
      </c>
      <c r="M347" s="1214">
        <v>1</v>
      </c>
      <c r="N347" s="1268">
        <v>96477000</v>
      </c>
      <c r="O347" s="590"/>
      <c r="P347" s="590">
        <v>199127579.5</v>
      </c>
      <c r="Q347" s="1195"/>
      <c r="R347" s="590">
        <v>1212500</v>
      </c>
      <c r="S347" s="1195"/>
      <c r="T347" s="1202"/>
      <c r="U347" s="1195"/>
      <c r="V347" s="1202"/>
      <c r="W347" s="1214"/>
      <c r="X347" s="1221"/>
      <c r="Y347" s="1214">
        <f t="shared" si="130"/>
        <v>0</v>
      </c>
      <c r="Z347" s="1215">
        <f t="shared" si="130"/>
        <v>1212500</v>
      </c>
      <c r="AA347" s="1195">
        <f t="shared" si="127"/>
        <v>1</v>
      </c>
      <c r="AB347" s="1196">
        <f t="shared" si="127"/>
        <v>97689500</v>
      </c>
      <c r="AC347" s="1214">
        <f t="shared" si="129"/>
        <v>1</v>
      </c>
      <c r="AD347" s="1216">
        <f t="shared" si="128"/>
        <v>0.24422374999999999</v>
      </c>
      <c r="AE347" s="383"/>
    </row>
    <row r="348" spans="1:31" s="498" customFormat="1" ht="38.25" customHeight="1">
      <c r="A348" s="383"/>
      <c r="B348" s="383"/>
      <c r="C348" s="623" t="s">
        <v>66</v>
      </c>
      <c r="D348" s="623" t="s">
        <v>196</v>
      </c>
      <c r="E348" s="623" t="s">
        <v>66</v>
      </c>
      <c r="F348" s="383">
        <v>15</v>
      </c>
      <c r="G348" s="1236">
        <v>19</v>
      </c>
      <c r="H348" s="1236"/>
      <c r="I348" s="1263" t="s">
        <v>1830</v>
      </c>
      <c r="J348" s="384" t="s">
        <v>1803</v>
      </c>
      <c r="K348" s="591">
        <v>1</v>
      </c>
      <c r="L348" s="1202">
        <v>550000000</v>
      </c>
      <c r="M348" s="1214">
        <v>1</v>
      </c>
      <c r="N348" s="1268">
        <v>149656500</v>
      </c>
      <c r="O348" s="590"/>
      <c r="P348" s="590">
        <v>195000000</v>
      </c>
      <c r="Q348" s="1195"/>
      <c r="R348" s="590">
        <v>0</v>
      </c>
      <c r="S348" s="1195"/>
      <c r="T348" s="1202"/>
      <c r="U348" s="1195"/>
      <c r="V348" s="1202"/>
      <c r="W348" s="1214"/>
      <c r="X348" s="1221"/>
      <c r="Y348" s="1214">
        <f t="shared" si="130"/>
        <v>0</v>
      </c>
      <c r="Z348" s="1215">
        <f t="shared" si="130"/>
        <v>0</v>
      </c>
      <c r="AA348" s="1195">
        <f t="shared" si="127"/>
        <v>1</v>
      </c>
      <c r="AB348" s="1196">
        <f t="shared" si="127"/>
        <v>149656500</v>
      </c>
      <c r="AC348" s="1214">
        <f t="shared" si="129"/>
        <v>1</v>
      </c>
      <c r="AD348" s="1216">
        <f t="shared" si="128"/>
        <v>0.27210272727272727</v>
      </c>
      <c r="AE348" s="383"/>
    </row>
    <row r="349" spans="1:31" s="498" customFormat="1" ht="38.25" customHeight="1">
      <c r="A349" s="383"/>
      <c r="B349" s="383"/>
      <c r="C349" s="623" t="s">
        <v>66</v>
      </c>
      <c r="D349" s="623" t="s">
        <v>196</v>
      </c>
      <c r="E349" s="623" t="s">
        <v>66</v>
      </c>
      <c r="F349" s="383">
        <v>15</v>
      </c>
      <c r="G349" s="1236">
        <v>20</v>
      </c>
      <c r="H349" s="1236"/>
      <c r="I349" s="1263" t="s">
        <v>1831</v>
      </c>
      <c r="J349" s="384" t="s">
        <v>1803</v>
      </c>
      <c r="K349" s="591">
        <v>1</v>
      </c>
      <c r="L349" s="1202">
        <v>450000000</v>
      </c>
      <c r="M349" s="1214">
        <v>1</v>
      </c>
      <c r="N349" s="1268">
        <v>831746000</v>
      </c>
      <c r="O349" s="590"/>
      <c r="P349" s="590">
        <v>292500000</v>
      </c>
      <c r="Q349" s="1195"/>
      <c r="R349" s="590">
        <v>1250000</v>
      </c>
      <c r="S349" s="1195"/>
      <c r="T349" s="1202"/>
      <c r="U349" s="1195"/>
      <c r="V349" s="1202"/>
      <c r="W349" s="1214"/>
      <c r="X349" s="1221"/>
      <c r="Y349" s="1214">
        <f t="shared" si="130"/>
        <v>0</v>
      </c>
      <c r="Z349" s="1215">
        <f t="shared" si="130"/>
        <v>1250000</v>
      </c>
      <c r="AA349" s="1195">
        <f t="shared" si="127"/>
        <v>1</v>
      </c>
      <c r="AB349" s="1196">
        <f t="shared" si="127"/>
        <v>832996000</v>
      </c>
      <c r="AC349" s="1214">
        <f t="shared" si="129"/>
        <v>1</v>
      </c>
      <c r="AD349" s="1216">
        <f t="shared" si="128"/>
        <v>1.8511022222222222</v>
      </c>
      <c r="AE349" s="383"/>
    </row>
    <row r="350" spans="1:31" s="498" customFormat="1" ht="34.5" customHeight="1">
      <c r="A350" s="383"/>
      <c r="B350" s="383"/>
      <c r="C350" s="623" t="s">
        <v>66</v>
      </c>
      <c r="D350" s="623" t="s">
        <v>196</v>
      </c>
      <c r="E350" s="623" t="s">
        <v>66</v>
      </c>
      <c r="F350" s="383">
        <v>43</v>
      </c>
      <c r="G350" s="1237">
        <v>82</v>
      </c>
      <c r="H350" s="1237"/>
      <c r="I350" s="1263" t="s">
        <v>1832</v>
      </c>
      <c r="J350" s="384" t="s">
        <v>1803</v>
      </c>
      <c r="K350" s="591">
        <v>1</v>
      </c>
      <c r="L350" s="1202">
        <v>500000000</v>
      </c>
      <c r="M350" s="1214">
        <v>1</v>
      </c>
      <c r="N350" s="1268">
        <v>479965800</v>
      </c>
      <c r="O350" s="590"/>
      <c r="P350" s="590">
        <v>0</v>
      </c>
      <c r="Q350" s="1195"/>
      <c r="R350" s="590"/>
      <c r="S350" s="1195"/>
      <c r="T350" s="1202"/>
      <c r="U350" s="1195"/>
      <c r="V350" s="1202"/>
      <c r="W350" s="1214"/>
      <c r="X350" s="1221"/>
      <c r="Y350" s="1214">
        <f t="shared" si="130"/>
        <v>0</v>
      </c>
      <c r="Z350" s="1215">
        <f t="shared" si="130"/>
        <v>0</v>
      </c>
      <c r="AA350" s="1195">
        <f t="shared" si="127"/>
        <v>1</v>
      </c>
      <c r="AB350" s="1196">
        <f t="shared" si="127"/>
        <v>479965800</v>
      </c>
      <c r="AC350" s="1214">
        <f t="shared" si="129"/>
        <v>1</v>
      </c>
      <c r="AD350" s="1216">
        <f t="shared" si="128"/>
        <v>0.9599316</v>
      </c>
      <c r="AE350" s="383"/>
    </row>
    <row r="351" spans="1:31" s="498" customFormat="1" ht="34.5" customHeight="1">
      <c r="A351" s="383"/>
      <c r="B351" s="383"/>
      <c r="C351" s="623" t="s">
        <v>66</v>
      </c>
      <c r="D351" s="623" t="s">
        <v>196</v>
      </c>
      <c r="E351" s="623" t="s">
        <v>66</v>
      </c>
      <c r="F351" s="383">
        <v>43</v>
      </c>
      <c r="G351" s="1237">
        <v>84</v>
      </c>
      <c r="H351" s="1237"/>
      <c r="I351" s="1234" t="s">
        <v>1833</v>
      </c>
      <c r="J351" s="384" t="s">
        <v>1808</v>
      </c>
      <c r="K351" s="591">
        <v>1</v>
      </c>
      <c r="L351" s="1202">
        <v>3000000000</v>
      </c>
      <c r="M351" s="1214">
        <v>1</v>
      </c>
      <c r="N351" s="1268">
        <v>1763410600</v>
      </c>
      <c r="O351" s="590"/>
      <c r="P351" s="590">
        <v>0</v>
      </c>
      <c r="Q351" s="1195"/>
      <c r="R351" s="590"/>
      <c r="S351" s="1195"/>
      <c r="T351" s="1202"/>
      <c r="U351" s="1195"/>
      <c r="V351" s="1202"/>
      <c r="W351" s="1214"/>
      <c r="X351" s="1221"/>
      <c r="Y351" s="1214">
        <f t="shared" si="130"/>
        <v>0</v>
      </c>
      <c r="Z351" s="1215">
        <f t="shared" si="130"/>
        <v>0</v>
      </c>
      <c r="AA351" s="1195">
        <f t="shared" si="127"/>
        <v>1</v>
      </c>
      <c r="AB351" s="1196">
        <f t="shared" si="127"/>
        <v>1763410600</v>
      </c>
      <c r="AC351" s="1214">
        <f t="shared" si="129"/>
        <v>1</v>
      </c>
      <c r="AD351" s="1216">
        <f t="shared" si="128"/>
        <v>0.58780353333333335</v>
      </c>
      <c r="AE351" s="383"/>
    </row>
    <row r="352" spans="1:31" s="498" customFormat="1" ht="34.5" customHeight="1">
      <c r="A352" s="383"/>
      <c r="B352" s="383"/>
      <c r="C352" s="623" t="s">
        <v>66</v>
      </c>
      <c r="D352" s="623" t="s">
        <v>196</v>
      </c>
      <c r="E352" s="623" t="s">
        <v>66</v>
      </c>
      <c r="F352" s="383">
        <v>15</v>
      </c>
      <c r="G352" s="1236">
        <v>29</v>
      </c>
      <c r="H352" s="1236"/>
      <c r="I352" s="1263" t="s">
        <v>1834</v>
      </c>
      <c r="J352" s="384" t="s">
        <v>1835</v>
      </c>
      <c r="K352" s="591">
        <v>1</v>
      </c>
      <c r="L352" s="1202">
        <v>150000000</v>
      </c>
      <c r="M352" s="1214">
        <v>1</v>
      </c>
      <c r="N352" s="1268">
        <v>173095500</v>
      </c>
      <c r="O352" s="590">
        <v>100</v>
      </c>
      <c r="P352" s="590">
        <v>169087804</v>
      </c>
      <c r="Q352" s="1195">
        <v>0.1</v>
      </c>
      <c r="R352" s="590">
        <v>15619059</v>
      </c>
      <c r="S352" s="1195"/>
      <c r="T352" s="1202"/>
      <c r="U352" s="1195"/>
      <c r="V352" s="1202"/>
      <c r="W352" s="1214"/>
      <c r="X352" s="1221"/>
      <c r="Y352" s="1214">
        <f t="shared" si="130"/>
        <v>0.1</v>
      </c>
      <c r="Z352" s="1215">
        <f t="shared" si="130"/>
        <v>15619059</v>
      </c>
      <c r="AA352" s="1195">
        <f t="shared" si="127"/>
        <v>1.1000000000000001</v>
      </c>
      <c r="AB352" s="1196">
        <f t="shared" si="127"/>
        <v>188714559</v>
      </c>
      <c r="AC352" s="1214">
        <f t="shared" si="129"/>
        <v>1.1000000000000001</v>
      </c>
      <c r="AD352" s="1216">
        <f t="shared" si="128"/>
        <v>1.2580970600000001</v>
      </c>
      <c r="AE352" s="383"/>
    </row>
    <row r="353" spans="1:31" s="498" customFormat="1" ht="34.5" customHeight="1">
      <c r="A353" s="383"/>
      <c r="B353" s="383"/>
      <c r="C353" s="623" t="s">
        <v>66</v>
      </c>
      <c r="D353" s="623" t="s">
        <v>196</v>
      </c>
      <c r="E353" s="623" t="s">
        <v>66</v>
      </c>
      <c r="F353" s="383">
        <v>15</v>
      </c>
      <c r="G353" s="1236">
        <v>31</v>
      </c>
      <c r="H353" s="1236"/>
      <c r="I353" s="1222" t="s">
        <v>1836</v>
      </c>
      <c r="J353" s="384" t="s">
        <v>1837</v>
      </c>
      <c r="K353" s="591">
        <v>1</v>
      </c>
      <c r="L353" s="1202">
        <v>150000000</v>
      </c>
      <c r="M353" s="1214">
        <v>1</v>
      </c>
      <c r="N353" s="1268">
        <v>145048100</v>
      </c>
      <c r="O353" s="1271">
        <v>1</v>
      </c>
      <c r="P353" s="590">
        <v>150000000</v>
      </c>
      <c r="Q353" s="1195">
        <v>0</v>
      </c>
      <c r="R353" s="590">
        <v>99442500</v>
      </c>
      <c r="S353" s="1195"/>
      <c r="T353" s="1202"/>
      <c r="U353" s="1195"/>
      <c r="V353" s="1202"/>
      <c r="W353" s="1214"/>
      <c r="X353" s="1221"/>
      <c r="Y353" s="1214">
        <f t="shared" si="130"/>
        <v>0</v>
      </c>
      <c r="Z353" s="1215">
        <f t="shared" si="130"/>
        <v>99442500</v>
      </c>
      <c r="AA353" s="1195">
        <f t="shared" si="127"/>
        <v>1</v>
      </c>
      <c r="AB353" s="1196">
        <f t="shared" si="127"/>
        <v>244490600</v>
      </c>
      <c r="AC353" s="1214">
        <f t="shared" si="129"/>
        <v>1</v>
      </c>
      <c r="AD353" s="1216">
        <f t="shared" si="128"/>
        <v>1.6299373333333333</v>
      </c>
      <c r="AE353" s="383"/>
    </row>
    <row r="354" spans="1:31" s="498" customFormat="1" ht="34.5" customHeight="1">
      <c r="A354" s="383"/>
      <c r="B354" s="383"/>
      <c r="C354" s="623" t="s">
        <v>66</v>
      </c>
      <c r="D354" s="623" t="s">
        <v>196</v>
      </c>
      <c r="E354" s="623" t="s">
        <v>66</v>
      </c>
      <c r="F354" s="383">
        <v>15</v>
      </c>
      <c r="G354" s="1236">
        <v>30</v>
      </c>
      <c r="H354" s="1236"/>
      <c r="I354" s="1222" t="s">
        <v>1838</v>
      </c>
      <c r="J354" s="384" t="s">
        <v>1837</v>
      </c>
      <c r="K354" s="591">
        <v>1</v>
      </c>
      <c r="L354" s="1202">
        <v>150000000</v>
      </c>
      <c r="M354" s="1214"/>
      <c r="N354" s="1268">
        <v>0</v>
      </c>
      <c r="O354" s="1271">
        <v>1</v>
      </c>
      <c r="P354" s="590">
        <v>100079052.75</v>
      </c>
      <c r="Q354" s="1195">
        <v>0.6</v>
      </c>
      <c r="R354" s="590">
        <v>0</v>
      </c>
      <c r="S354" s="1195"/>
      <c r="T354" s="1202"/>
      <c r="U354" s="1195"/>
      <c r="V354" s="1202"/>
      <c r="W354" s="1214"/>
      <c r="X354" s="1221"/>
      <c r="Y354" s="1214">
        <f t="shared" ref="Y354:Z355" si="131">Q354+S354+U354+W354</f>
        <v>0.6</v>
      </c>
      <c r="Z354" s="1215">
        <f t="shared" si="131"/>
        <v>0</v>
      </c>
      <c r="AA354" s="1195">
        <f t="shared" si="127"/>
        <v>0.6</v>
      </c>
      <c r="AB354" s="1196">
        <f t="shared" si="127"/>
        <v>0</v>
      </c>
      <c r="AC354" s="1214">
        <f t="shared" si="129"/>
        <v>0.6</v>
      </c>
      <c r="AD354" s="1216">
        <f t="shared" si="128"/>
        <v>0</v>
      </c>
      <c r="AE354" s="383"/>
    </row>
    <row r="355" spans="1:31" s="498" customFormat="1" ht="34.5" customHeight="1">
      <c r="A355" s="383"/>
      <c r="B355" s="383"/>
      <c r="C355" s="623" t="s">
        <v>66</v>
      </c>
      <c r="D355" s="623" t="s">
        <v>196</v>
      </c>
      <c r="E355" s="623" t="s">
        <v>66</v>
      </c>
      <c r="F355" s="383">
        <v>15</v>
      </c>
      <c r="G355" s="1236">
        <v>32</v>
      </c>
      <c r="H355" s="1236"/>
      <c r="I355" s="1222" t="s">
        <v>1839</v>
      </c>
      <c r="J355" s="384" t="s">
        <v>1803</v>
      </c>
      <c r="K355" s="591">
        <v>1</v>
      </c>
      <c r="L355" s="1202">
        <v>800000000</v>
      </c>
      <c r="M355" s="1214"/>
      <c r="N355" s="1268"/>
      <c r="O355" s="590">
        <v>100</v>
      </c>
      <c r="P355" s="590">
        <v>800000000</v>
      </c>
      <c r="Q355" s="1195">
        <v>0</v>
      </c>
      <c r="R355" s="590">
        <v>0</v>
      </c>
      <c r="S355" s="1195"/>
      <c r="T355" s="1202"/>
      <c r="U355" s="1195"/>
      <c r="V355" s="1202"/>
      <c r="W355" s="1214"/>
      <c r="X355" s="1221"/>
      <c r="Y355" s="1214">
        <f t="shared" si="131"/>
        <v>0</v>
      </c>
      <c r="Z355" s="1215">
        <f t="shared" si="131"/>
        <v>0</v>
      </c>
      <c r="AA355" s="1195">
        <f t="shared" si="127"/>
        <v>0</v>
      </c>
      <c r="AB355" s="1196">
        <f t="shared" si="127"/>
        <v>0</v>
      </c>
      <c r="AC355" s="1214">
        <f t="shared" si="129"/>
        <v>0</v>
      </c>
      <c r="AD355" s="1216">
        <f t="shared" si="128"/>
        <v>0</v>
      </c>
      <c r="AE355" s="383"/>
    </row>
    <row r="356" spans="1:31" s="498" customFormat="1" ht="57" customHeight="1">
      <c r="A356" s="383"/>
      <c r="B356" s="383"/>
      <c r="C356" s="623" t="s">
        <v>66</v>
      </c>
      <c r="D356" s="623" t="s">
        <v>196</v>
      </c>
      <c r="E356" s="623" t="s">
        <v>66</v>
      </c>
      <c r="F356" s="383">
        <v>43</v>
      </c>
      <c r="G356" s="1236">
        <v>100</v>
      </c>
      <c r="H356" s="1237"/>
      <c r="I356" s="1222" t="s">
        <v>1840</v>
      </c>
      <c r="J356" s="384" t="s">
        <v>1803</v>
      </c>
      <c r="K356" s="591">
        <v>1</v>
      </c>
      <c r="L356" s="1202">
        <v>195000000</v>
      </c>
      <c r="M356" s="1214">
        <v>1</v>
      </c>
      <c r="N356" s="1268">
        <v>192955000</v>
      </c>
      <c r="O356" s="590"/>
      <c r="P356" s="590">
        <v>0</v>
      </c>
      <c r="Q356" s="1195"/>
      <c r="R356" s="590"/>
      <c r="S356" s="1195"/>
      <c r="T356" s="1202"/>
      <c r="U356" s="1195"/>
      <c r="V356" s="1202"/>
      <c r="W356" s="1214"/>
      <c r="X356" s="1221"/>
      <c r="Y356" s="1214">
        <f t="shared" ref="Y356:Z371" si="132">W356</f>
        <v>0</v>
      </c>
      <c r="Z356" s="1215">
        <f t="shared" si="132"/>
        <v>0</v>
      </c>
      <c r="AA356" s="1214">
        <f t="shared" si="127"/>
        <v>1</v>
      </c>
      <c r="AB356" s="1215">
        <f t="shared" si="127"/>
        <v>192955000</v>
      </c>
      <c r="AC356" s="1214">
        <f t="shared" si="129"/>
        <v>1</v>
      </c>
      <c r="AD356" s="1216">
        <f t="shared" si="128"/>
        <v>0.98951282051282052</v>
      </c>
      <c r="AE356" s="383"/>
    </row>
    <row r="357" spans="1:31" s="498" customFormat="1" ht="43.5" customHeight="1">
      <c r="A357" s="383"/>
      <c r="B357" s="383"/>
      <c r="C357" s="623" t="s">
        <v>66</v>
      </c>
      <c r="D357" s="623" t="s">
        <v>196</v>
      </c>
      <c r="E357" s="623" t="s">
        <v>66</v>
      </c>
      <c r="F357" s="383">
        <v>43</v>
      </c>
      <c r="G357" s="1237">
        <v>101</v>
      </c>
      <c r="H357" s="1237"/>
      <c r="I357" s="1222" t="s">
        <v>1841</v>
      </c>
      <c r="J357" s="384" t="s">
        <v>1803</v>
      </c>
      <c r="K357" s="591">
        <v>1</v>
      </c>
      <c r="L357" s="1202">
        <v>150000000</v>
      </c>
      <c r="M357" s="1214">
        <v>1</v>
      </c>
      <c r="N357" s="1268">
        <v>146012000</v>
      </c>
      <c r="O357" s="590"/>
      <c r="P357" s="590">
        <v>0</v>
      </c>
      <c r="Q357" s="1195"/>
      <c r="R357" s="590"/>
      <c r="S357" s="1195"/>
      <c r="T357" s="1202"/>
      <c r="U357" s="1195"/>
      <c r="V357" s="1202"/>
      <c r="W357" s="1214"/>
      <c r="X357" s="1221"/>
      <c r="Y357" s="1214">
        <f t="shared" si="132"/>
        <v>0</v>
      </c>
      <c r="Z357" s="1215">
        <f t="shared" si="132"/>
        <v>0</v>
      </c>
      <c r="AA357" s="1195">
        <f t="shared" si="127"/>
        <v>1</v>
      </c>
      <c r="AB357" s="1196">
        <f t="shared" si="127"/>
        <v>146012000</v>
      </c>
      <c r="AC357" s="1214">
        <f t="shared" si="129"/>
        <v>1</v>
      </c>
      <c r="AD357" s="1216">
        <f t="shared" si="128"/>
        <v>0.97341333333333335</v>
      </c>
      <c r="AE357" s="383"/>
    </row>
    <row r="358" spans="1:31" s="498" customFormat="1" ht="43.5" customHeight="1">
      <c r="A358" s="383"/>
      <c r="B358" s="383"/>
      <c r="C358" s="623" t="s">
        <v>66</v>
      </c>
      <c r="D358" s="623" t="s">
        <v>196</v>
      </c>
      <c r="E358" s="623" t="s">
        <v>66</v>
      </c>
      <c r="F358" s="383">
        <v>43</v>
      </c>
      <c r="G358" s="1237">
        <v>103</v>
      </c>
      <c r="H358" s="1237"/>
      <c r="I358" s="1222" t="s">
        <v>1842</v>
      </c>
      <c r="J358" s="384" t="s">
        <v>1803</v>
      </c>
      <c r="K358" s="591">
        <v>1</v>
      </c>
      <c r="L358" s="590">
        <v>100000000</v>
      </c>
      <c r="M358" s="1214">
        <v>1</v>
      </c>
      <c r="N358" s="1268">
        <v>98857000</v>
      </c>
      <c r="O358" s="590"/>
      <c r="P358" s="590">
        <v>0</v>
      </c>
      <c r="Q358" s="1195"/>
      <c r="R358" s="590"/>
      <c r="S358" s="1195"/>
      <c r="T358" s="1202"/>
      <c r="U358" s="1195"/>
      <c r="V358" s="1202"/>
      <c r="W358" s="1214"/>
      <c r="X358" s="1221"/>
      <c r="Y358" s="1214">
        <f t="shared" si="132"/>
        <v>0</v>
      </c>
      <c r="Z358" s="1215">
        <f t="shared" si="132"/>
        <v>0</v>
      </c>
      <c r="AA358" s="1195">
        <f t="shared" si="127"/>
        <v>1</v>
      </c>
      <c r="AB358" s="1196">
        <f t="shared" si="127"/>
        <v>98857000</v>
      </c>
      <c r="AC358" s="1214">
        <f t="shared" si="129"/>
        <v>1</v>
      </c>
      <c r="AD358" s="1216">
        <f t="shared" si="128"/>
        <v>0.98856999999999995</v>
      </c>
      <c r="AE358" s="383"/>
    </row>
    <row r="359" spans="1:31" s="498" customFormat="1" ht="43.5" customHeight="1">
      <c r="A359" s="383"/>
      <c r="B359" s="383"/>
      <c r="C359" s="623" t="s">
        <v>66</v>
      </c>
      <c r="D359" s="623" t="s">
        <v>196</v>
      </c>
      <c r="E359" s="623" t="s">
        <v>66</v>
      </c>
      <c r="F359" s="383">
        <v>43</v>
      </c>
      <c r="G359" s="1237">
        <v>104</v>
      </c>
      <c r="H359" s="1237"/>
      <c r="I359" s="1222" t="s">
        <v>1843</v>
      </c>
      <c r="J359" s="384" t="s">
        <v>1803</v>
      </c>
      <c r="K359" s="591">
        <v>1</v>
      </c>
      <c r="L359" s="590">
        <v>195000000</v>
      </c>
      <c r="M359" s="1214">
        <v>1</v>
      </c>
      <c r="N359" s="1268">
        <v>191855000</v>
      </c>
      <c r="O359" s="590"/>
      <c r="P359" s="590">
        <v>0</v>
      </c>
      <c r="Q359" s="1195"/>
      <c r="R359" s="590"/>
      <c r="S359" s="1195"/>
      <c r="T359" s="1202"/>
      <c r="U359" s="1195"/>
      <c r="V359" s="1202"/>
      <c r="W359" s="1214"/>
      <c r="X359" s="1221"/>
      <c r="Y359" s="1214">
        <f t="shared" si="132"/>
        <v>0</v>
      </c>
      <c r="Z359" s="1215">
        <f t="shared" si="132"/>
        <v>0</v>
      </c>
      <c r="AA359" s="1195">
        <f t="shared" si="127"/>
        <v>1</v>
      </c>
      <c r="AB359" s="1196">
        <f t="shared" si="127"/>
        <v>191855000</v>
      </c>
      <c r="AC359" s="1214">
        <f t="shared" si="129"/>
        <v>1</v>
      </c>
      <c r="AD359" s="1216">
        <f t="shared" si="128"/>
        <v>0.98387179487179488</v>
      </c>
      <c r="AE359" s="383"/>
    </row>
    <row r="360" spans="1:31" s="498" customFormat="1" ht="43.5" customHeight="1">
      <c r="A360" s="383"/>
      <c r="B360" s="383"/>
      <c r="C360" s="623" t="s">
        <v>66</v>
      </c>
      <c r="D360" s="623" t="s">
        <v>196</v>
      </c>
      <c r="E360" s="623" t="s">
        <v>66</v>
      </c>
      <c r="F360" s="383">
        <v>43</v>
      </c>
      <c r="G360" s="1237">
        <v>87</v>
      </c>
      <c r="H360" s="1237"/>
      <c r="I360" s="1222" t="s">
        <v>1844</v>
      </c>
      <c r="J360" s="384" t="s">
        <v>1803</v>
      </c>
      <c r="K360" s="591">
        <v>1</v>
      </c>
      <c r="L360" s="590">
        <v>150000000</v>
      </c>
      <c r="M360" s="1214">
        <v>1</v>
      </c>
      <c r="N360" s="1268">
        <v>148031000</v>
      </c>
      <c r="O360" s="590"/>
      <c r="P360" s="590">
        <v>0</v>
      </c>
      <c r="Q360" s="1195"/>
      <c r="R360" s="590"/>
      <c r="S360" s="1195"/>
      <c r="T360" s="1202"/>
      <c r="U360" s="1195"/>
      <c r="V360" s="1202"/>
      <c r="W360" s="1214"/>
      <c r="X360" s="1221"/>
      <c r="Y360" s="1214">
        <f t="shared" si="132"/>
        <v>0</v>
      </c>
      <c r="Z360" s="1215">
        <f t="shared" si="132"/>
        <v>0</v>
      </c>
      <c r="AA360" s="1195">
        <f t="shared" si="127"/>
        <v>1</v>
      </c>
      <c r="AB360" s="1196">
        <f t="shared" si="127"/>
        <v>148031000</v>
      </c>
      <c r="AC360" s="1214">
        <f t="shared" si="129"/>
        <v>1</v>
      </c>
      <c r="AD360" s="1216">
        <f t="shared" si="128"/>
        <v>0.98687333333333338</v>
      </c>
      <c r="AE360" s="383"/>
    </row>
    <row r="361" spans="1:31" s="498" customFormat="1" ht="43.5" customHeight="1">
      <c r="A361" s="383"/>
      <c r="B361" s="383"/>
      <c r="C361" s="623" t="s">
        <v>66</v>
      </c>
      <c r="D361" s="623" t="s">
        <v>196</v>
      </c>
      <c r="E361" s="623" t="s">
        <v>66</v>
      </c>
      <c r="F361" s="383">
        <v>43</v>
      </c>
      <c r="G361" s="1237">
        <v>88</v>
      </c>
      <c r="H361" s="1237"/>
      <c r="I361" s="1222" t="s">
        <v>1845</v>
      </c>
      <c r="J361" s="384" t="s">
        <v>1803</v>
      </c>
      <c r="K361" s="591">
        <v>1</v>
      </c>
      <c r="L361" s="590">
        <v>200000000</v>
      </c>
      <c r="M361" s="1214">
        <v>1</v>
      </c>
      <c r="N361" s="1268">
        <v>195823158</v>
      </c>
      <c r="O361" s="590"/>
      <c r="P361" s="590">
        <v>0</v>
      </c>
      <c r="Q361" s="1195"/>
      <c r="R361" s="590"/>
      <c r="S361" s="1195"/>
      <c r="T361" s="1202"/>
      <c r="U361" s="1195"/>
      <c r="V361" s="1202"/>
      <c r="W361" s="1214"/>
      <c r="X361" s="1221"/>
      <c r="Y361" s="1214">
        <f t="shared" si="132"/>
        <v>0</v>
      </c>
      <c r="Z361" s="1215">
        <f t="shared" si="132"/>
        <v>0</v>
      </c>
      <c r="AA361" s="1195">
        <f t="shared" si="127"/>
        <v>1</v>
      </c>
      <c r="AB361" s="1196">
        <f t="shared" si="127"/>
        <v>195823158</v>
      </c>
      <c r="AC361" s="1214">
        <f t="shared" si="129"/>
        <v>1</v>
      </c>
      <c r="AD361" s="1216">
        <f t="shared" si="128"/>
        <v>0.97911579000000004</v>
      </c>
      <c r="AE361" s="383"/>
    </row>
    <row r="362" spans="1:31" s="498" customFormat="1" ht="42" customHeight="1">
      <c r="A362" s="383"/>
      <c r="B362" s="383"/>
      <c r="C362" s="623" t="s">
        <v>66</v>
      </c>
      <c r="D362" s="623" t="s">
        <v>196</v>
      </c>
      <c r="E362" s="623" t="s">
        <v>66</v>
      </c>
      <c r="F362" s="383">
        <v>43</v>
      </c>
      <c r="G362" s="1237">
        <v>89</v>
      </c>
      <c r="H362" s="1237"/>
      <c r="I362" s="1222" t="s">
        <v>1846</v>
      </c>
      <c r="J362" s="384" t="s">
        <v>1803</v>
      </c>
      <c r="K362" s="591">
        <v>1</v>
      </c>
      <c r="L362" s="590">
        <v>200000000</v>
      </c>
      <c r="M362" s="1214">
        <v>1</v>
      </c>
      <c r="N362" s="1268">
        <v>198647000</v>
      </c>
      <c r="O362" s="590"/>
      <c r="P362" s="590">
        <v>0</v>
      </c>
      <c r="Q362" s="1195"/>
      <c r="R362" s="590"/>
      <c r="S362" s="1195"/>
      <c r="T362" s="1202"/>
      <c r="U362" s="1195"/>
      <c r="V362" s="1202"/>
      <c r="W362" s="1214"/>
      <c r="X362" s="1221"/>
      <c r="Y362" s="1214">
        <f t="shared" si="132"/>
        <v>0</v>
      </c>
      <c r="Z362" s="1215">
        <f t="shared" si="132"/>
        <v>0</v>
      </c>
      <c r="AA362" s="1195">
        <f t="shared" si="127"/>
        <v>1</v>
      </c>
      <c r="AB362" s="1196">
        <f t="shared" si="127"/>
        <v>198647000</v>
      </c>
      <c r="AC362" s="1214">
        <f t="shared" si="129"/>
        <v>1</v>
      </c>
      <c r="AD362" s="1216">
        <f t="shared" si="128"/>
        <v>0.99323499999999998</v>
      </c>
      <c r="AE362" s="383"/>
    </row>
    <row r="363" spans="1:31" s="498" customFormat="1" ht="42" customHeight="1">
      <c r="A363" s="383"/>
      <c r="B363" s="383"/>
      <c r="C363" s="623" t="s">
        <v>66</v>
      </c>
      <c r="D363" s="623" t="s">
        <v>196</v>
      </c>
      <c r="E363" s="623" t="s">
        <v>66</v>
      </c>
      <c r="F363" s="383">
        <v>43</v>
      </c>
      <c r="G363" s="1237">
        <v>90</v>
      </c>
      <c r="H363" s="1237"/>
      <c r="I363" s="1222" t="s">
        <v>1847</v>
      </c>
      <c r="J363" s="384" t="s">
        <v>1803</v>
      </c>
      <c r="K363" s="591">
        <v>1</v>
      </c>
      <c r="L363" s="590">
        <v>75000000</v>
      </c>
      <c r="M363" s="1214">
        <v>1</v>
      </c>
      <c r="N363" s="1268">
        <v>74291000</v>
      </c>
      <c r="O363" s="590"/>
      <c r="P363" s="590">
        <v>0</v>
      </c>
      <c r="Q363" s="1195"/>
      <c r="R363" s="590"/>
      <c r="S363" s="1195"/>
      <c r="T363" s="1202"/>
      <c r="U363" s="1195"/>
      <c r="V363" s="1202"/>
      <c r="W363" s="1214"/>
      <c r="X363" s="1221"/>
      <c r="Y363" s="1214">
        <v>0</v>
      </c>
      <c r="Z363" s="1215">
        <f t="shared" si="132"/>
        <v>0</v>
      </c>
      <c r="AA363" s="1195">
        <f t="shared" si="127"/>
        <v>1</v>
      </c>
      <c r="AB363" s="1196">
        <f t="shared" si="127"/>
        <v>74291000</v>
      </c>
      <c r="AC363" s="1214">
        <f t="shared" si="129"/>
        <v>1</v>
      </c>
      <c r="AD363" s="1216">
        <f t="shared" si="128"/>
        <v>0.99054666666666669</v>
      </c>
      <c r="AE363" s="383"/>
    </row>
    <row r="364" spans="1:31" s="498" customFormat="1" ht="42" customHeight="1">
      <c r="A364" s="383"/>
      <c r="B364" s="383"/>
      <c r="C364" s="623" t="s">
        <v>66</v>
      </c>
      <c r="D364" s="623" t="s">
        <v>196</v>
      </c>
      <c r="E364" s="623" t="s">
        <v>66</v>
      </c>
      <c r="F364" s="383">
        <v>43</v>
      </c>
      <c r="G364" s="1237">
        <v>91</v>
      </c>
      <c r="H364" s="1237"/>
      <c r="I364" s="1222" t="s">
        <v>1848</v>
      </c>
      <c r="J364" s="384" t="s">
        <v>1803</v>
      </c>
      <c r="K364" s="591">
        <v>1</v>
      </c>
      <c r="L364" s="590">
        <v>195000000</v>
      </c>
      <c r="M364" s="1214">
        <v>1</v>
      </c>
      <c r="N364" s="1268">
        <v>190059800</v>
      </c>
      <c r="O364" s="590"/>
      <c r="P364" s="590">
        <v>0</v>
      </c>
      <c r="Q364" s="1195"/>
      <c r="R364" s="590"/>
      <c r="S364" s="1195"/>
      <c r="T364" s="1202"/>
      <c r="U364" s="1195"/>
      <c r="V364" s="1202"/>
      <c r="W364" s="1214"/>
      <c r="X364" s="1221"/>
      <c r="Y364" s="1214">
        <f t="shared" si="132"/>
        <v>0</v>
      </c>
      <c r="Z364" s="1215">
        <f t="shared" si="132"/>
        <v>0</v>
      </c>
      <c r="AA364" s="1195">
        <f t="shared" si="127"/>
        <v>1</v>
      </c>
      <c r="AB364" s="1196">
        <f t="shared" si="127"/>
        <v>190059800</v>
      </c>
      <c r="AC364" s="1214">
        <f t="shared" si="129"/>
        <v>1</v>
      </c>
      <c r="AD364" s="1216">
        <f t="shared" si="128"/>
        <v>0.97466564102564102</v>
      </c>
      <c r="AE364" s="383"/>
    </row>
    <row r="365" spans="1:31" s="498" customFormat="1" ht="42" customHeight="1">
      <c r="A365" s="383"/>
      <c r="B365" s="383"/>
      <c r="C365" s="623" t="s">
        <v>66</v>
      </c>
      <c r="D365" s="623" t="s">
        <v>196</v>
      </c>
      <c r="E365" s="623" t="s">
        <v>66</v>
      </c>
      <c r="F365" s="383">
        <v>43</v>
      </c>
      <c r="G365" s="1237">
        <v>92</v>
      </c>
      <c r="H365" s="1237"/>
      <c r="I365" s="1222" t="s">
        <v>1849</v>
      </c>
      <c r="J365" s="384" t="s">
        <v>1803</v>
      </c>
      <c r="K365" s="591">
        <v>1</v>
      </c>
      <c r="L365" s="590">
        <v>175000000</v>
      </c>
      <c r="M365" s="1214">
        <v>1</v>
      </c>
      <c r="N365" s="1268">
        <v>170993000</v>
      </c>
      <c r="O365" s="590"/>
      <c r="P365" s="590">
        <v>0</v>
      </c>
      <c r="Q365" s="1195"/>
      <c r="R365" s="590"/>
      <c r="S365" s="1195"/>
      <c r="T365" s="1202"/>
      <c r="U365" s="1195"/>
      <c r="V365" s="1202"/>
      <c r="W365" s="1214"/>
      <c r="X365" s="1221"/>
      <c r="Y365" s="1214">
        <f t="shared" si="132"/>
        <v>0</v>
      </c>
      <c r="Z365" s="1215">
        <f t="shared" si="132"/>
        <v>0</v>
      </c>
      <c r="AA365" s="1195">
        <f t="shared" si="127"/>
        <v>1</v>
      </c>
      <c r="AB365" s="1196">
        <f t="shared" si="127"/>
        <v>170993000</v>
      </c>
      <c r="AC365" s="1214">
        <f t="shared" si="129"/>
        <v>1</v>
      </c>
      <c r="AD365" s="1216">
        <f t="shared" si="128"/>
        <v>0.97710285714285716</v>
      </c>
      <c r="AE365" s="383"/>
    </row>
    <row r="366" spans="1:31" s="498" customFormat="1" ht="42" customHeight="1">
      <c r="A366" s="383"/>
      <c r="B366" s="383"/>
      <c r="C366" s="623" t="s">
        <v>66</v>
      </c>
      <c r="D366" s="623" t="s">
        <v>196</v>
      </c>
      <c r="E366" s="623" t="s">
        <v>66</v>
      </c>
      <c r="F366" s="383">
        <v>43</v>
      </c>
      <c r="G366" s="1237">
        <v>93</v>
      </c>
      <c r="H366" s="1237"/>
      <c r="I366" s="1222" t="s">
        <v>1850</v>
      </c>
      <c r="J366" s="384" t="s">
        <v>1803</v>
      </c>
      <c r="K366" s="591">
        <v>1</v>
      </c>
      <c r="L366" s="590">
        <v>175000000</v>
      </c>
      <c r="M366" s="1214">
        <v>1</v>
      </c>
      <c r="N366" s="1268">
        <v>173153000</v>
      </c>
      <c r="O366" s="590"/>
      <c r="P366" s="590">
        <v>0</v>
      </c>
      <c r="Q366" s="1195"/>
      <c r="R366" s="590"/>
      <c r="S366" s="1195"/>
      <c r="T366" s="1202"/>
      <c r="U366" s="1195"/>
      <c r="V366" s="1202"/>
      <c r="W366" s="1214"/>
      <c r="X366" s="1221"/>
      <c r="Y366" s="1214">
        <f t="shared" si="132"/>
        <v>0</v>
      </c>
      <c r="Z366" s="1215">
        <f t="shared" si="132"/>
        <v>0</v>
      </c>
      <c r="AA366" s="1195">
        <f t="shared" si="127"/>
        <v>1</v>
      </c>
      <c r="AB366" s="1196">
        <f t="shared" si="127"/>
        <v>173153000</v>
      </c>
      <c r="AC366" s="1214">
        <f t="shared" si="129"/>
        <v>1</v>
      </c>
      <c r="AD366" s="1216">
        <f t="shared" si="128"/>
        <v>0.98944571428571426</v>
      </c>
      <c r="AE366" s="383"/>
    </row>
    <row r="367" spans="1:31" s="498" customFormat="1" ht="42" customHeight="1">
      <c r="A367" s="383"/>
      <c r="B367" s="383"/>
      <c r="C367" s="623" t="s">
        <v>66</v>
      </c>
      <c r="D367" s="623" t="s">
        <v>196</v>
      </c>
      <c r="E367" s="623" t="s">
        <v>66</v>
      </c>
      <c r="F367" s="383">
        <v>43</v>
      </c>
      <c r="G367" s="1237">
        <v>94</v>
      </c>
      <c r="H367" s="1237"/>
      <c r="I367" s="1222" t="s">
        <v>1851</v>
      </c>
      <c r="J367" s="384" t="s">
        <v>1803</v>
      </c>
      <c r="K367" s="591">
        <v>1</v>
      </c>
      <c r="L367" s="590">
        <v>175000000</v>
      </c>
      <c r="M367" s="1214">
        <v>1</v>
      </c>
      <c r="N367" s="1268">
        <v>174427000</v>
      </c>
      <c r="O367" s="590"/>
      <c r="P367" s="590">
        <v>0</v>
      </c>
      <c r="Q367" s="1195"/>
      <c r="R367" s="590"/>
      <c r="S367" s="1195"/>
      <c r="T367" s="1202"/>
      <c r="U367" s="1195"/>
      <c r="V367" s="1202"/>
      <c r="W367" s="1214"/>
      <c r="X367" s="1221"/>
      <c r="Y367" s="1214">
        <v>0</v>
      </c>
      <c r="Z367" s="1215">
        <f t="shared" si="132"/>
        <v>0</v>
      </c>
      <c r="AA367" s="1195">
        <f t="shared" si="127"/>
        <v>1</v>
      </c>
      <c r="AB367" s="1196">
        <f t="shared" si="127"/>
        <v>174427000</v>
      </c>
      <c r="AC367" s="1214">
        <f t="shared" si="129"/>
        <v>1</v>
      </c>
      <c r="AD367" s="1216">
        <f t="shared" si="128"/>
        <v>0.99672571428571433</v>
      </c>
      <c r="AE367" s="383"/>
    </row>
    <row r="368" spans="1:31" s="498" customFormat="1" ht="42" customHeight="1">
      <c r="A368" s="383"/>
      <c r="B368" s="383"/>
      <c r="C368" s="623" t="s">
        <v>66</v>
      </c>
      <c r="D368" s="623" t="s">
        <v>196</v>
      </c>
      <c r="E368" s="623" t="s">
        <v>66</v>
      </c>
      <c r="F368" s="383">
        <v>43</v>
      </c>
      <c r="G368" s="1237">
        <v>95</v>
      </c>
      <c r="H368" s="1237"/>
      <c r="I368" s="1222" t="s">
        <v>1852</v>
      </c>
      <c r="J368" s="384" t="s">
        <v>1803</v>
      </c>
      <c r="K368" s="591">
        <v>1</v>
      </c>
      <c r="L368" s="590">
        <v>150000000</v>
      </c>
      <c r="M368" s="1214">
        <v>1</v>
      </c>
      <c r="N368" s="1268">
        <v>148034000</v>
      </c>
      <c r="O368" s="590"/>
      <c r="P368" s="590">
        <v>0</v>
      </c>
      <c r="Q368" s="1195"/>
      <c r="R368" s="590"/>
      <c r="S368" s="1195"/>
      <c r="T368" s="1202"/>
      <c r="U368" s="1195"/>
      <c r="V368" s="1202"/>
      <c r="W368" s="1214"/>
      <c r="X368" s="1221"/>
      <c r="Y368" s="1214">
        <f t="shared" si="132"/>
        <v>0</v>
      </c>
      <c r="Z368" s="1215">
        <f t="shared" si="132"/>
        <v>0</v>
      </c>
      <c r="AA368" s="1195">
        <f t="shared" si="127"/>
        <v>1</v>
      </c>
      <c r="AB368" s="1196">
        <f t="shared" si="127"/>
        <v>148034000</v>
      </c>
      <c r="AC368" s="1214">
        <f t="shared" si="129"/>
        <v>1</v>
      </c>
      <c r="AD368" s="1216">
        <f t="shared" si="128"/>
        <v>0.98689333333333329</v>
      </c>
      <c r="AE368" s="383"/>
    </row>
    <row r="369" spans="1:32" s="498" customFormat="1" ht="42" customHeight="1">
      <c r="A369" s="383"/>
      <c r="B369" s="383"/>
      <c r="C369" s="623" t="s">
        <v>66</v>
      </c>
      <c r="D369" s="623" t="s">
        <v>196</v>
      </c>
      <c r="E369" s="623" t="s">
        <v>66</v>
      </c>
      <c r="F369" s="383">
        <v>43</v>
      </c>
      <c r="G369" s="1237">
        <v>96</v>
      </c>
      <c r="H369" s="1237"/>
      <c r="I369" s="1222" t="s">
        <v>1853</v>
      </c>
      <c r="J369" s="384" t="s">
        <v>1803</v>
      </c>
      <c r="K369" s="591">
        <v>1</v>
      </c>
      <c r="L369" s="590">
        <v>100000000</v>
      </c>
      <c r="M369" s="1214">
        <v>1</v>
      </c>
      <c r="N369" s="1268">
        <v>98934000</v>
      </c>
      <c r="O369" s="590"/>
      <c r="P369" s="590">
        <v>0</v>
      </c>
      <c r="Q369" s="1195"/>
      <c r="R369" s="590"/>
      <c r="S369" s="1195"/>
      <c r="T369" s="1202"/>
      <c r="U369" s="1195"/>
      <c r="V369" s="1202"/>
      <c r="W369" s="1214"/>
      <c r="X369" s="1221"/>
      <c r="Y369" s="1214">
        <f t="shared" si="132"/>
        <v>0</v>
      </c>
      <c r="Z369" s="1215">
        <f t="shared" si="132"/>
        <v>0</v>
      </c>
      <c r="AA369" s="1195">
        <f t="shared" si="127"/>
        <v>1</v>
      </c>
      <c r="AB369" s="1196">
        <f t="shared" si="127"/>
        <v>98934000</v>
      </c>
      <c r="AC369" s="1214">
        <f t="shared" si="129"/>
        <v>1</v>
      </c>
      <c r="AD369" s="1216">
        <f t="shared" si="128"/>
        <v>0.98934</v>
      </c>
      <c r="AE369" s="383"/>
    </row>
    <row r="370" spans="1:32" s="498" customFormat="1" ht="42" customHeight="1">
      <c r="A370" s="383"/>
      <c r="B370" s="383"/>
      <c r="C370" s="623" t="s">
        <v>66</v>
      </c>
      <c r="D370" s="623" t="s">
        <v>196</v>
      </c>
      <c r="E370" s="623" t="s">
        <v>66</v>
      </c>
      <c r="F370" s="383">
        <v>43</v>
      </c>
      <c r="G370" s="1237">
        <v>97</v>
      </c>
      <c r="H370" s="1237"/>
      <c r="I370" s="1222" t="s">
        <v>1854</v>
      </c>
      <c r="J370" s="384" t="s">
        <v>1803</v>
      </c>
      <c r="K370" s="591">
        <v>1</v>
      </c>
      <c r="L370" s="590">
        <v>100000000</v>
      </c>
      <c r="M370" s="1214">
        <v>1</v>
      </c>
      <c r="N370" s="1268">
        <v>97172000</v>
      </c>
      <c r="O370" s="590"/>
      <c r="P370" s="590">
        <v>0</v>
      </c>
      <c r="Q370" s="1195"/>
      <c r="R370" s="590"/>
      <c r="S370" s="1195"/>
      <c r="T370" s="1202"/>
      <c r="U370" s="1195"/>
      <c r="V370" s="1202"/>
      <c r="W370" s="1214"/>
      <c r="X370" s="1221"/>
      <c r="Y370" s="1214">
        <f t="shared" si="132"/>
        <v>0</v>
      </c>
      <c r="Z370" s="1215">
        <f t="shared" si="132"/>
        <v>0</v>
      </c>
      <c r="AA370" s="1195">
        <f t="shared" si="127"/>
        <v>1</v>
      </c>
      <c r="AB370" s="1196">
        <f t="shared" si="127"/>
        <v>97172000</v>
      </c>
      <c r="AC370" s="1214">
        <f t="shared" si="129"/>
        <v>1</v>
      </c>
      <c r="AD370" s="1216">
        <f t="shared" si="128"/>
        <v>0.97172000000000003</v>
      </c>
      <c r="AE370" s="383"/>
    </row>
    <row r="371" spans="1:32" s="498" customFormat="1" ht="92.25" customHeight="1">
      <c r="A371" s="383"/>
      <c r="B371" s="383"/>
      <c r="C371" s="623" t="s">
        <v>66</v>
      </c>
      <c r="D371" s="623" t="s">
        <v>196</v>
      </c>
      <c r="E371" s="623" t="s">
        <v>66</v>
      </c>
      <c r="F371" s="383">
        <v>43</v>
      </c>
      <c r="G371" s="1237">
        <v>98</v>
      </c>
      <c r="H371" s="1237"/>
      <c r="I371" s="1222" t="s">
        <v>1855</v>
      </c>
      <c r="J371" s="384" t="s">
        <v>1803</v>
      </c>
      <c r="K371" s="591">
        <v>1</v>
      </c>
      <c r="L371" s="590">
        <v>100000000</v>
      </c>
      <c r="M371" s="1214">
        <v>1</v>
      </c>
      <c r="N371" s="1268">
        <v>97099000</v>
      </c>
      <c r="O371" s="590"/>
      <c r="P371" s="590">
        <v>0</v>
      </c>
      <c r="Q371" s="1195"/>
      <c r="R371" s="590"/>
      <c r="S371" s="1195"/>
      <c r="T371" s="1202"/>
      <c r="U371" s="1195"/>
      <c r="V371" s="1202"/>
      <c r="W371" s="1214"/>
      <c r="X371" s="1221"/>
      <c r="Y371" s="1214">
        <f t="shared" si="132"/>
        <v>0</v>
      </c>
      <c r="Z371" s="1215">
        <f t="shared" si="132"/>
        <v>0</v>
      </c>
      <c r="AA371" s="1214">
        <f t="shared" si="127"/>
        <v>1</v>
      </c>
      <c r="AB371" s="1215">
        <f t="shared" si="127"/>
        <v>97099000</v>
      </c>
      <c r="AC371" s="1214">
        <f t="shared" si="129"/>
        <v>1</v>
      </c>
      <c r="AD371" s="1216">
        <f t="shared" si="128"/>
        <v>0.97099000000000002</v>
      </c>
      <c r="AE371" s="383"/>
    </row>
    <row r="372" spans="1:32" s="494" customFormat="1" ht="27.75" customHeight="1">
      <c r="A372" s="2398" t="s">
        <v>89</v>
      </c>
      <c r="B372" s="2398"/>
      <c r="C372" s="2398"/>
      <c r="D372" s="2398"/>
      <c r="E372" s="2398"/>
      <c r="F372" s="2398"/>
      <c r="G372" s="2398"/>
      <c r="H372" s="2398"/>
      <c r="I372" s="2398"/>
      <c r="J372" s="2398"/>
      <c r="K372" s="2398"/>
      <c r="L372" s="2398"/>
      <c r="M372" s="2398"/>
      <c r="N372" s="2398"/>
      <c r="O372" s="2398"/>
      <c r="P372" s="2398"/>
      <c r="Q372" s="2398"/>
      <c r="R372" s="2398"/>
      <c r="S372" s="2398"/>
      <c r="T372" s="2398"/>
      <c r="U372" s="2398"/>
      <c r="V372" s="2398"/>
      <c r="W372" s="2398"/>
      <c r="X372" s="2398"/>
      <c r="Y372" s="2398"/>
      <c r="Z372" s="2398"/>
      <c r="AA372" s="2398"/>
      <c r="AB372" s="2398"/>
      <c r="AC372" s="1195">
        <f>AVERAGE(AC327:AC371)</f>
        <v>0.8932000000000001</v>
      </c>
      <c r="AD372" s="1195">
        <f>AD326</f>
        <v>1.0655160406799249</v>
      </c>
      <c r="AE372" s="384"/>
    </row>
    <row r="373" spans="1:32" s="494" customFormat="1">
      <c r="A373" s="2408" t="s">
        <v>1679</v>
      </c>
      <c r="B373" s="2409"/>
      <c r="C373" s="2409"/>
      <c r="D373" s="2409"/>
      <c r="E373" s="2409"/>
      <c r="F373" s="2409"/>
      <c r="G373" s="2409"/>
      <c r="H373" s="2409"/>
      <c r="I373" s="2409"/>
      <c r="J373" s="2409"/>
      <c r="K373" s="2409"/>
      <c r="L373" s="2409"/>
      <c r="M373" s="2409"/>
      <c r="N373" s="2409"/>
      <c r="O373" s="2409"/>
      <c r="P373" s="2409"/>
      <c r="Q373" s="2409"/>
      <c r="R373" s="2409"/>
      <c r="S373" s="2409"/>
      <c r="T373" s="2409"/>
      <c r="U373" s="2409"/>
      <c r="V373" s="2409"/>
      <c r="W373" s="2409"/>
      <c r="X373" s="2409"/>
      <c r="Y373" s="2409"/>
      <c r="Z373" s="2409"/>
      <c r="AA373" s="2409"/>
      <c r="AB373" s="2410"/>
      <c r="AC373" s="384"/>
      <c r="AD373" s="384"/>
      <c r="AE373" s="384"/>
    </row>
    <row r="374" spans="1:32" s="498" customFormat="1" ht="52.5" customHeight="1">
      <c r="A374" s="753">
        <v>13</v>
      </c>
      <c r="B374" s="383" t="s">
        <v>1856</v>
      </c>
      <c r="C374" s="623" t="s">
        <v>66</v>
      </c>
      <c r="D374" s="623" t="s">
        <v>196</v>
      </c>
      <c r="E374" s="623" t="s">
        <v>66</v>
      </c>
      <c r="F374" s="383">
        <v>36</v>
      </c>
      <c r="G374" s="383"/>
      <c r="H374" s="383"/>
      <c r="I374" s="1261" t="s">
        <v>1857</v>
      </c>
      <c r="J374" s="1261" t="s">
        <v>1858</v>
      </c>
      <c r="K374" s="1219">
        <v>1</v>
      </c>
      <c r="L374" s="1221">
        <f>SUM(L375:L376)</f>
        <v>479074142</v>
      </c>
      <c r="M374" s="1214">
        <v>1</v>
      </c>
      <c r="N374" s="1221">
        <f>SUM(N375:N376)</f>
        <v>453122600</v>
      </c>
      <c r="O374" s="1219">
        <v>1</v>
      </c>
      <c r="P374" s="1210">
        <f>SUM(P375:P378)</f>
        <v>895466687</v>
      </c>
      <c r="Q374" s="1214">
        <f>SUM(Q377:Q378)/2</f>
        <v>0.2</v>
      </c>
      <c r="R374" s="1221">
        <f>SUM(R375:R378)</f>
        <v>20056000</v>
      </c>
      <c r="S374" s="1214"/>
      <c r="T374" s="1221"/>
      <c r="U374" s="1214"/>
      <c r="V374" s="1221"/>
      <c r="W374" s="1214"/>
      <c r="X374" s="1221"/>
      <c r="Y374" s="1214">
        <f t="shared" ref="Y374:Z378" si="133">Q374+S374+U374+W374</f>
        <v>0.2</v>
      </c>
      <c r="Z374" s="1215">
        <f t="shared" si="133"/>
        <v>20056000</v>
      </c>
      <c r="AA374" s="1214">
        <f t="shared" si="127"/>
        <v>1.2</v>
      </c>
      <c r="AB374" s="1215">
        <f t="shared" si="127"/>
        <v>473178600</v>
      </c>
      <c r="AC374" s="1214">
        <f t="shared" ref="AC374:AD378" si="134">AA374/K374*100%</f>
        <v>1.2</v>
      </c>
      <c r="AD374" s="1216">
        <f t="shared" si="134"/>
        <v>0.9876938839249646</v>
      </c>
      <c r="AE374" s="634"/>
      <c r="AF374" s="656"/>
    </row>
    <row r="375" spans="1:32" s="498" customFormat="1" ht="27.75" customHeight="1">
      <c r="A375" s="383"/>
      <c r="B375" s="383"/>
      <c r="C375" s="623" t="s">
        <v>66</v>
      </c>
      <c r="D375" s="623" t="s">
        <v>196</v>
      </c>
      <c r="E375" s="623" t="s">
        <v>66</v>
      </c>
      <c r="F375" s="383">
        <v>47</v>
      </c>
      <c r="G375" s="383">
        <v>37</v>
      </c>
      <c r="H375" s="383"/>
      <c r="I375" s="1264" t="s">
        <v>1859</v>
      </c>
      <c r="J375" s="384" t="s">
        <v>1860</v>
      </c>
      <c r="K375" s="1219">
        <v>1</v>
      </c>
      <c r="L375" s="1202">
        <v>364780500</v>
      </c>
      <c r="M375" s="1214">
        <v>1</v>
      </c>
      <c r="N375" s="1202">
        <v>364569400</v>
      </c>
      <c r="O375" s="591"/>
      <c r="P375" s="1202"/>
      <c r="Q375" s="1195"/>
      <c r="R375" s="1202"/>
      <c r="S375" s="1195"/>
      <c r="T375" s="1202"/>
      <c r="U375" s="1193"/>
      <c r="V375" s="629"/>
      <c r="W375" s="1193"/>
      <c r="X375" s="629"/>
      <c r="Y375" s="1195">
        <f t="shared" si="133"/>
        <v>0</v>
      </c>
      <c r="Z375" s="1196">
        <f t="shared" si="133"/>
        <v>0</v>
      </c>
      <c r="AA375" s="1214">
        <f t="shared" si="127"/>
        <v>1</v>
      </c>
      <c r="AB375" s="1215">
        <f t="shared" si="127"/>
        <v>364569400</v>
      </c>
      <c r="AC375" s="1214">
        <f t="shared" si="134"/>
        <v>1</v>
      </c>
      <c r="AD375" s="1216">
        <f t="shared" si="134"/>
        <v>0.99942129582036321</v>
      </c>
      <c r="AE375" s="383"/>
    </row>
    <row r="376" spans="1:32" s="494" customFormat="1" ht="25.5">
      <c r="A376" s="384"/>
      <c r="B376" s="384"/>
      <c r="C376" s="623" t="s">
        <v>66</v>
      </c>
      <c r="D376" s="623" t="s">
        <v>196</v>
      </c>
      <c r="E376" s="623" t="s">
        <v>66</v>
      </c>
      <c r="F376" s="384">
        <v>47</v>
      </c>
      <c r="G376" s="384">
        <v>38</v>
      </c>
      <c r="H376" s="384"/>
      <c r="I376" s="1263" t="s">
        <v>1861</v>
      </c>
      <c r="J376" s="384"/>
      <c r="K376" s="1219">
        <v>1</v>
      </c>
      <c r="L376" s="1202">
        <v>114293642</v>
      </c>
      <c r="M376" s="1214">
        <v>1</v>
      </c>
      <c r="N376" s="1202">
        <v>88553200</v>
      </c>
      <c r="O376" s="591"/>
      <c r="P376" s="1202"/>
      <c r="Q376" s="1195"/>
      <c r="R376" s="1202"/>
      <c r="S376" s="1195"/>
      <c r="T376" s="1202"/>
      <c r="U376" s="1193"/>
      <c r="V376" s="629"/>
      <c r="W376" s="1193"/>
      <c r="X376" s="629"/>
      <c r="Y376" s="1195">
        <f t="shared" si="133"/>
        <v>0</v>
      </c>
      <c r="Z376" s="1196">
        <f t="shared" si="133"/>
        <v>0</v>
      </c>
      <c r="AA376" s="1214">
        <f t="shared" si="127"/>
        <v>1</v>
      </c>
      <c r="AB376" s="1215">
        <f t="shared" si="127"/>
        <v>88553200</v>
      </c>
      <c r="AC376" s="1214">
        <f t="shared" si="134"/>
        <v>1</v>
      </c>
      <c r="AD376" s="1216">
        <f t="shared" si="134"/>
        <v>0.7747867549797739</v>
      </c>
      <c r="AE376" s="384"/>
    </row>
    <row r="377" spans="1:32" s="498" customFormat="1" ht="42" customHeight="1">
      <c r="A377" s="383"/>
      <c r="B377" s="383"/>
      <c r="C377" s="623" t="s">
        <v>66</v>
      </c>
      <c r="D377" s="623" t="s">
        <v>196</v>
      </c>
      <c r="E377" s="623" t="s">
        <v>66</v>
      </c>
      <c r="F377" s="383">
        <v>36</v>
      </c>
      <c r="G377" s="1236" t="s">
        <v>65</v>
      </c>
      <c r="H377" s="1236"/>
      <c r="I377" s="1263" t="s">
        <v>1862</v>
      </c>
      <c r="J377" s="384" t="s">
        <v>1863</v>
      </c>
      <c r="K377" s="1219">
        <v>1</v>
      </c>
      <c r="L377" s="1202">
        <v>364780500</v>
      </c>
      <c r="M377" s="1214">
        <v>1</v>
      </c>
      <c r="N377" s="1202">
        <v>800000000</v>
      </c>
      <c r="O377" s="591">
        <v>1</v>
      </c>
      <c r="P377" s="1202">
        <v>790846771</v>
      </c>
      <c r="Q377" s="1195">
        <v>0.15</v>
      </c>
      <c r="R377" s="1202"/>
      <c r="S377" s="1195"/>
      <c r="T377" s="1202"/>
      <c r="U377" s="1193"/>
      <c r="V377" s="629"/>
      <c r="W377" s="1193"/>
      <c r="X377" s="629"/>
      <c r="Y377" s="1195">
        <f t="shared" si="133"/>
        <v>0.15</v>
      </c>
      <c r="Z377" s="1196">
        <f t="shared" si="133"/>
        <v>0</v>
      </c>
      <c r="AA377" s="1214">
        <f t="shared" si="127"/>
        <v>1.1499999999999999</v>
      </c>
      <c r="AB377" s="1215">
        <f t="shared" si="127"/>
        <v>800000000</v>
      </c>
      <c r="AC377" s="1214">
        <f t="shared" si="134"/>
        <v>1.1499999999999999</v>
      </c>
      <c r="AD377" s="1216">
        <f t="shared" si="134"/>
        <v>2.1930996859755387</v>
      </c>
      <c r="AE377" s="383"/>
    </row>
    <row r="378" spans="1:32" s="494" customFormat="1">
      <c r="A378" s="384"/>
      <c r="B378" s="384"/>
      <c r="C378" s="623" t="s">
        <v>66</v>
      </c>
      <c r="D378" s="623" t="s">
        <v>196</v>
      </c>
      <c r="E378" s="623" t="s">
        <v>66</v>
      </c>
      <c r="F378" s="383">
        <v>36</v>
      </c>
      <c r="G378" s="1236" t="s">
        <v>197</v>
      </c>
      <c r="H378" s="1236"/>
      <c r="I378" s="1263" t="s">
        <v>1864</v>
      </c>
      <c r="J378" s="384"/>
      <c r="K378" s="1219">
        <v>1</v>
      </c>
      <c r="L378" s="1202">
        <v>114293642</v>
      </c>
      <c r="M378" s="1214">
        <v>1</v>
      </c>
      <c r="N378" s="1202">
        <v>150000000</v>
      </c>
      <c r="O378" s="591">
        <v>1</v>
      </c>
      <c r="P378" s="1202">
        <v>104619916</v>
      </c>
      <c r="Q378" s="1195">
        <v>0.25</v>
      </c>
      <c r="R378" s="1202">
        <v>20056000</v>
      </c>
      <c r="S378" s="1195"/>
      <c r="T378" s="1202"/>
      <c r="U378" s="1193"/>
      <c r="V378" s="629"/>
      <c r="W378" s="1193"/>
      <c r="X378" s="629"/>
      <c r="Y378" s="1195">
        <f t="shared" si="133"/>
        <v>0.25</v>
      </c>
      <c r="Z378" s="1196">
        <f t="shared" si="133"/>
        <v>20056000</v>
      </c>
      <c r="AA378" s="1214">
        <f t="shared" si="127"/>
        <v>1.25</v>
      </c>
      <c r="AB378" s="1215">
        <f t="shared" si="127"/>
        <v>170056000</v>
      </c>
      <c r="AC378" s="1214">
        <f t="shared" si="134"/>
        <v>1.25</v>
      </c>
      <c r="AD378" s="1216">
        <f t="shared" si="134"/>
        <v>1.4878867890131631</v>
      </c>
      <c r="AE378" s="384"/>
    </row>
    <row r="379" spans="1:32" s="494" customFormat="1" ht="27.75" customHeight="1">
      <c r="A379" s="2398" t="s">
        <v>89</v>
      </c>
      <c r="B379" s="2398"/>
      <c r="C379" s="2398"/>
      <c r="D379" s="2398"/>
      <c r="E379" s="2398"/>
      <c r="F379" s="2398"/>
      <c r="G379" s="2398"/>
      <c r="H379" s="2398"/>
      <c r="I379" s="2398"/>
      <c r="J379" s="2398"/>
      <c r="K379" s="2398"/>
      <c r="L379" s="2398"/>
      <c r="M379" s="2398"/>
      <c r="N379" s="2398"/>
      <c r="O379" s="2398"/>
      <c r="P379" s="2398"/>
      <c r="Q379" s="2398"/>
      <c r="R379" s="2398"/>
      <c r="S379" s="2398"/>
      <c r="T379" s="2398"/>
      <c r="U379" s="2398"/>
      <c r="V379" s="2398"/>
      <c r="W379" s="2398"/>
      <c r="X379" s="2398"/>
      <c r="Y379" s="2398"/>
      <c r="Z379" s="2398"/>
      <c r="AA379" s="2398"/>
      <c r="AB379" s="2398"/>
      <c r="AC379" s="1195">
        <f>AVERAGE(AC375:AC378)</f>
        <v>1.1000000000000001</v>
      </c>
      <c r="AD379" s="1195">
        <f>AD374</f>
        <v>0.9876938839249646</v>
      </c>
      <c r="AE379" s="384"/>
    </row>
    <row r="380" spans="1:32" s="494" customFormat="1">
      <c r="A380" s="2398" t="s">
        <v>1679</v>
      </c>
      <c r="B380" s="2398"/>
      <c r="C380" s="2398"/>
      <c r="D380" s="2398"/>
      <c r="E380" s="2398"/>
      <c r="F380" s="2398"/>
      <c r="G380" s="2398"/>
      <c r="H380" s="2398"/>
      <c r="I380" s="2398"/>
      <c r="J380" s="2398"/>
      <c r="K380" s="2398"/>
      <c r="L380" s="2398"/>
      <c r="M380" s="2398"/>
      <c r="N380" s="2398"/>
      <c r="O380" s="2398"/>
      <c r="P380" s="2398"/>
      <c r="Q380" s="2398"/>
      <c r="R380" s="2398"/>
      <c r="S380" s="2398"/>
      <c r="T380" s="2398"/>
      <c r="U380" s="2398"/>
      <c r="V380" s="2398"/>
      <c r="W380" s="2398"/>
      <c r="X380" s="2398"/>
      <c r="Y380" s="2398"/>
      <c r="Z380" s="2398"/>
      <c r="AA380" s="2398"/>
      <c r="AB380" s="2398"/>
      <c r="AC380" s="384"/>
      <c r="AD380" s="384"/>
      <c r="AE380" s="384"/>
    </row>
    <row r="381" spans="1:32" s="494" customFormat="1">
      <c r="A381" s="384"/>
      <c r="B381" s="384"/>
      <c r="C381" s="384"/>
      <c r="D381" s="384"/>
      <c r="E381" s="384"/>
      <c r="F381" s="384"/>
      <c r="G381" s="384"/>
      <c r="H381" s="384"/>
      <c r="I381" s="1263"/>
      <c r="J381" s="384"/>
      <c r="K381" s="384"/>
      <c r="L381" s="384"/>
      <c r="M381" s="1214"/>
      <c r="N381" s="384"/>
      <c r="O381" s="591"/>
      <c r="P381" s="1202"/>
      <c r="Q381" s="1195"/>
      <c r="R381" s="1202"/>
      <c r="S381" s="1195"/>
      <c r="T381" s="1202"/>
      <c r="U381" s="1193"/>
      <c r="V381" s="629"/>
      <c r="W381" s="1193"/>
      <c r="X381" s="629"/>
      <c r="Y381" s="1195"/>
      <c r="Z381" s="1196"/>
      <c r="AA381" s="1214"/>
      <c r="AB381" s="1194"/>
      <c r="AC381" s="384"/>
      <c r="AD381" s="384"/>
      <c r="AE381" s="384"/>
    </row>
    <row r="382" spans="1:32" s="498" customFormat="1" ht="54" customHeight="1">
      <c r="A382" s="753">
        <v>14</v>
      </c>
      <c r="B382" s="383"/>
      <c r="C382" s="623" t="s">
        <v>66</v>
      </c>
      <c r="D382" s="623" t="s">
        <v>196</v>
      </c>
      <c r="E382" s="623" t="s">
        <v>66</v>
      </c>
      <c r="F382" s="383">
        <v>44</v>
      </c>
      <c r="G382" s="383"/>
      <c r="H382" s="383"/>
      <c r="I382" s="1237" t="s">
        <v>1865</v>
      </c>
      <c r="J382" s="1237" t="s">
        <v>1866</v>
      </c>
      <c r="K382" s="383">
        <f>K383</f>
        <v>100</v>
      </c>
      <c r="L382" s="1227">
        <f>L383</f>
        <v>150000000</v>
      </c>
      <c r="M382" s="383"/>
      <c r="N382" s="1227">
        <f>N383</f>
        <v>2322960</v>
      </c>
      <c r="O382" s="591"/>
      <c r="P382" s="1202"/>
      <c r="Q382" s="1193"/>
      <c r="R382" s="629"/>
      <c r="S382" s="1193"/>
      <c r="T382" s="629"/>
      <c r="U382" s="1193"/>
      <c r="V382" s="629"/>
      <c r="W382" s="1193"/>
      <c r="X382" s="629"/>
      <c r="Y382" s="1195">
        <f t="shared" ref="Y382:Z382" si="135">Y383</f>
        <v>0</v>
      </c>
      <c r="Z382" s="1196">
        <f t="shared" si="135"/>
        <v>0</v>
      </c>
      <c r="AA382" s="1214">
        <f t="shared" si="127"/>
        <v>0</v>
      </c>
      <c r="AB382" s="1215">
        <f t="shared" si="127"/>
        <v>2322960</v>
      </c>
      <c r="AC382" s="1214">
        <f t="shared" ref="AC382:AD383" si="136">AA382/K382*100%</f>
        <v>0</v>
      </c>
      <c r="AD382" s="1216">
        <f t="shared" si="136"/>
        <v>1.5486400000000001E-2</v>
      </c>
      <c r="AE382" s="383"/>
    </row>
    <row r="383" spans="1:32" s="498" customFormat="1" ht="61.5" customHeight="1">
      <c r="A383" s="383"/>
      <c r="B383" s="383"/>
      <c r="C383" s="623" t="s">
        <v>66</v>
      </c>
      <c r="D383" s="623" t="s">
        <v>196</v>
      </c>
      <c r="E383" s="623" t="s">
        <v>66</v>
      </c>
      <c r="F383" s="383">
        <v>44</v>
      </c>
      <c r="G383" s="383">
        <v>30</v>
      </c>
      <c r="H383" s="1237"/>
      <c r="I383" s="1200" t="s">
        <v>1867</v>
      </c>
      <c r="J383" s="384" t="s">
        <v>1868</v>
      </c>
      <c r="K383" s="384">
        <v>100</v>
      </c>
      <c r="L383" s="1202">
        <v>150000000</v>
      </c>
      <c r="M383" s="383"/>
      <c r="N383" s="1202">
        <v>2322960</v>
      </c>
      <c r="O383" s="591"/>
      <c r="P383" s="1202"/>
      <c r="Q383" s="1195"/>
      <c r="R383" s="1202"/>
      <c r="S383" s="1195"/>
      <c r="T383" s="1202"/>
      <c r="U383" s="1195"/>
      <c r="V383" s="1202"/>
      <c r="W383" s="1195"/>
      <c r="X383" s="1202"/>
      <c r="Y383" s="1214">
        <f>Q383+S383+U383+W383</f>
        <v>0</v>
      </c>
      <c r="Z383" s="1215">
        <f>R383+T383+V383+X383</f>
        <v>0</v>
      </c>
      <c r="AA383" s="1214">
        <f t="shared" si="127"/>
        <v>0</v>
      </c>
      <c r="AB383" s="1215">
        <f t="shared" si="127"/>
        <v>2322960</v>
      </c>
      <c r="AC383" s="1214">
        <f t="shared" si="136"/>
        <v>0</v>
      </c>
      <c r="AD383" s="1216">
        <f t="shared" si="136"/>
        <v>1.5486400000000001E-2</v>
      </c>
      <c r="AE383" s="383" t="s">
        <v>1869</v>
      </c>
    </row>
    <row r="384" spans="1:32" s="494" customFormat="1" ht="27.75" customHeight="1">
      <c r="A384" s="2398" t="s">
        <v>89</v>
      </c>
      <c r="B384" s="2398"/>
      <c r="C384" s="2398"/>
      <c r="D384" s="2398"/>
      <c r="E384" s="2398"/>
      <c r="F384" s="2398"/>
      <c r="G384" s="2398"/>
      <c r="H384" s="2398"/>
      <c r="I384" s="2398"/>
      <c r="J384" s="2398"/>
      <c r="K384" s="2398"/>
      <c r="L384" s="2398"/>
      <c r="M384" s="2398"/>
      <c r="N384" s="2398"/>
      <c r="O384" s="2398"/>
      <c r="P384" s="2398"/>
      <c r="Q384" s="2398"/>
      <c r="R384" s="2398"/>
      <c r="S384" s="2398"/>
      <c r="T384" s="2398"/>
      <c r="U384" s="2398"/>
      <c r="V384" s="2398"/>
      <c r="W384" s="2398"/>
      <c r="X384" s="2398"/>
      <c r="Y384" s="2398"/>
      <c r="Z384" s="2398"/>
      <c r="AA384" s="2398"/>
      <c r="AB384" s="2398"/>
      <c r="AC384" s="1195">
        <f>AVERAGE(AC383)</f>
        <v>0</v>
      </c>
      <c r="AD384" s="1195">
        <f>AD382</f>
        <v>1.5486400000000001E-2</v>
      </c>
      <c r="AE384" s="384"/>
    </row>
    <row r="385" spans="1:31" s="494" customFormat="1">
      <c r="A385" s="2398" t="s">
        <v>1679</v>
      </c>
      <c r="B385" s="2398"/>
      <c r="C385" s="2398"/>
      <c r="D385" s="2398"/>
      <c r="E385" s="2398"/>
      <c r="F385" s="2398"/>
      <c r="G385" s="2398"/>
      <c r="H385" s="2398"/>
      <c r="I385" s="2398"/>
      <c r="J385" s="2398"/>
      <c r="K385" s="2398"/>
      <c r="L385" s="2398"/>
      <c r="M385" s="2398"/>
      <c r="N385" s="2398"/>
      <c r="O385" s="2398"/>
      <c r="P385" s="2398"/>
      <c r="Q385" s="2398"/>
      <c r="R385" s="2398"/>
      <c r="S385" s="2398"/>
      <c r="T385" s="2398"/>
      <c r="U385" s="2398"/>
      <c r="V385" s="2398"/>
      <c r="W385" s="2398"/>
      <c r="X385" s="2398"/>
      <c r="Y385" s="2398"/>
      <c r="Z385" s="2398"/>
      <c r="AA385" s="2398"/>
      <c r="AB385" s="2398"/>
      <c r="AC385" s="384"/>
      <c r="AD385" s="384"/>
      <c r="AE385" s="384"/>
    </row>
    <row r="386" spans="1:31" s="498" customFormat="1" ht="54.75" customHeight="1">
      <c r="A386" s="383">
        <v>15</v>
      </c>
      <c r="B386" s="383"/>
      <c r="C386" s="623" t="s">
        <v>66</v>
      </c>
      <c r="D386" s="623" t="s">
        <v>196</v>
      </c>
      <c r="E386" s="623" t="s">
        <v>66</v>
      </c>
      <c r="F386" s="383">
        <v>32</v>
      </c>
      <c r="G386" s="383"/>
      <c r="H386" s="1236"/>
      <c r="I386" s="1272" t="s">
        <v>1870</v>
      </c>
      <c r="J386" s="1272" t="s">
        <v>1871</v>
      </c>
      <c r="K386" s="1273">
        <v>100</v>
      </c>
      <c r="L386" s="629">
        <f>L387</f>
        <v>31944000</v>
      </c>
      <c r="M386" s="1274">
        <v>1</v>
      </c>
      <c r="N386" s="629">
        <f>N387</f>
        <v>24706300</v>
      </c>
      <c r="O386" s="591">
        <v>1</v>
      </c>
      <c r="P386" s="629">
        <f>P387</f>
        <v>35889602</v>
      </c>
      <c r="Q386" s="1193">
        <v>0.25</v>
      </c>
      <c r="R386" s="629">
        <f>R387</f>
        <v>2667100</v>
      </c>
      <c r="S386" s="1193"/>
      <c r="T386" s="629"/>
      <c r="U386" s="1193"/>
      <c r="V386" s="629"/>
      <c r="W386" s="1193"/>
      <c r="X386" s="629"/>
      <c r="Y386" s="1195">
        <f>Q386+S386+U386+W386</f>
        <v>0.25</v>
      </c>
      <c r="Z386" s="1196">
        <f>R386+T386+V386+X386</f>
        <v>2667100</v>
      </c>
      <c r="AA386" s="1214">
        <f t="shared" ref="AA386:AB387" si="137">M386+Y386</f>
        <v>1.25</v>
      </c>
      <c r="AB386" s="1215">
        <f t="shared" si="137"/>
        <v>27373400</v>
      </c>
      <c r="AC386" s="1214">
        <f t="shared" ref="AC386:AD387" si="138">AA386/K386*100%</f>
        <v>1.2500000000000001E-2</v>
      </c>
      <c r="AD386" s="1216">
        <f t="shared" si="138"/>
        <v>0.85691835712496867</v>
      </c>
      <c r="AE386" s="383"/>
    </row>
    <row r="387" spans="1:31" s="498" customFormat="1" ht="45.75" customHeight="1">
      <c r="A387" s="383"/>
      <c r="B387" s="383"/>
      <c r="C387" s="623" t="s">
        <v>66</v>
      </c>
      <c r="D387" s="623" t="s">
        <v>196</v>
      </c>
      <c r="E387" s="623" t="s">
        <v>66</v>
      </c>
      <c r="F387" s="383">
        <v>32</v>
      </c>
      <c r="G387" s="1236" t="s">
        <v>66</v>
      </c>
      <c r="H387" s="1236"/>
      <c r="I387" s="1263" t="s">
        <v>1872</v>
      </c>
      <c r="J387" s="1263" t="s">
        <v>1873</v>
      </c>
      <c r="K387" s="629">
        <v>100</v>
      </c>
      <c r="L387" s="629">
        <v>31944000</v>
      </c>
      <c r="M387" s="1274">
        <v>1</v>
      </c>
      <c r="N387" s="1202">
        <v>24706300</v>
      </c>
      <c r="O387" s="591">
        <v>1</v>
      </c>
      <c r="P387" s="1202">
        <v>35889602</v>
      </c>
      <c r="Q387" s="1195">
        <f>Q386</f>
        <v>0.25</v>
      </c>
      <c r="R387" s="1202">
        <v>2667100</v>
      </c>
      <c r="S387" s="1195"/>
      <c r="T387" s="1202"/>
      <c r="U387" s="1193"/>
      <c r="V387" s="629"/>
      <c r="W387" s="1193"/>
      <c r="X387" s="629"/>
      <c r="Y387" s="1193">
        <f>Y386</f>
        <v>0.25</v>
      </c>
      <c r="Z387" s="1227">
        <f>X387</f>
        <v>0</v>
      </c>
      <c r="AA387" s="1214">
        <f t="shared" si="137"/>
        <v>1.25</v>
      </c>
      <c r="AB387" s="1215">
        <f t="shared" si="137"/>
        <v>24706300</v>
      </c>
      <c r="AC387" s="1214">
        <f t="shared" si="138"/>
        <v>1.2500000000000001E-2</v>
      </c>
      <c r="AD387" s="1216">
        <f t="shared" si="138"/>
        <v>0.7734253693964438</v>
      </c>
      <c r="AE387" s="383"/>
    </row>
    <row r="388" spans="1:31" s="494" customFormat="1" ht="27.75" customHeight="1">
      <c r="A388" s="2398" t="s">
        <v>89</v>
      </c>
      <c r="B388" s="2398"/>
      <c r="C388" s="2398"/>
      <c r="D388" s="2398"/>
      <c r="E388" s="2398"/>
      <c r="F388" s="2398"/>
      <c r="G388" s="2398"/>
      <c r="H388" s="2398"/>
      <c r="I388" s="2398"/>
      <c r="J388" s="2398"/>
      <c r="K388" s="2398"/>
      <c r="L388" s="2398"/>
      <c r="M388" s="2398"/>
      <c r="N388" s="2398"/>
      <c r="O388" s="2398"/>
      <c r="P388" s="2398"/>
      <c r="Q388" s="2398"/>
      <c r="R388" s="2398"/>
      <c r="S388" s="2398"/>
      <c r="T388" s="2398"/>
      <c r="U388" s="2398"/>
      <c r="V388" s="2398"/>
      <c r="W388" s="2398"/>
      <c r="X388" s="2398"/>
      <c r="Y388" s="2398"/>
      <c r="Z388" s="2398"/>
      <c r="AA388" s="2398"/>
      <c r="AB388" s="2398"/>
      <c r="AC388" s="1195">
        <f>AVERAGE(AC387)</f>
        <v>1.2500000000000001E-2</v>
      </c>
      <c r="AD388" s="1195">
        <f>AD379</f>
        <v>0.9876938839249646</v>
      </c>
      <c r="AE388" s="384"/>
    </row>
    <row r="389" spans="1:31" s="494" customFormat="1">
      <c r="A389" s="2398" t="s">
        <v>1679</v>
      </c>
      <c r="B389" s="2398"/>
      <c r="C389" s="2398"/>
      <c r="D389" s="2398"/>
      <c r="E389" s="2398"/>
      <c r="F389" s="2398"/>
      <c r="G389" s="2398"/>
      <c r="H389" s="2398"/>
      <c r="I389" s="2398"/>
      <c r="J389" s="2398"/>
      <c r="K389" s="2398"/>
      <c r="L389" s="2398"/>
      <c r="M389" s="2398"/>
      <c r="N389" s="2398"/>
      <c r="O389" s="2398"/>
      <c r="P389" s="2398"/>
      <c r="Q389" s="2398"/>
      <c r="R389" s="2398"/>
      <c r="S389" s="2398"/>
      <c r="T389" s="2398"/>
      <c r="U389" s="2398"/>
      <c r="V389" s="2398"/>
      <c r="W389" s="2398"/>
      <c r="X389" s="2398"/>
      <c r="Y389" s="2398"/>
      <c r="Z389" s="2398"/>
      <c r="AA389" s="2398"/>
      <c r="AB389" s="2398"/>
      <c r="AC389" s="384"/>
      <c r="AD389" s="384"/>
      <c r="AE389" s="384"/>
    </row>
    <row r="390" spans="1:31" s="498" customFormat="1" ht="58.5" customHeight="1">
      <c r="A390" s="383">
        <v>16</v>
      </c>
      <c r="B390" s="383"/>
      <c r="C390" s="623" t="s">
        <v>66</v>
      </c>
      <c r="D390" s="623" t="s">
        <v>196</v>
      </c>
      <c r="E390" s="623" t="s">
        <v>66</v>
      </c>
      <c r="F390" s="383">
        <v>23</v>
      </c>
      <c r="G390" s="383"/>
      <c r="H390" s="1236"/>
      <c r="I390" s="1237" t="s">
        <v>1874</v>
      </c>
      <c r="J390" s="1237" t="s">
        <v>1875</v>
      </c>
      <c r="K390" s="1219">
        <v>1</v>
      </c>
      <c r="L390" s="629">
        <f>SUM(L391:L395)</f>
        <v>7493163378</v>
      </c>
      <c r="M390" s="1274">
        <v>1</v>
      </c>
      <c r="N390" s="1210">
        <f>SUM(N391:N395)</f>
        <v>5744230013</v>
      </c>
      <c r="O390" s="1235">
        <v>1</v>
      </c>
      <c r="P390" s="1210">
        <f>SUM(P391:P395)</f>
        <v>1189623593.5</v>
      </c>
      <c r="Q390" s="1212">
        <v>0.05</v>
      </c>
      <c r="R390" s="1210">
        <f>SUM(R391:R394)</f>
        <v>6882295</v>
      </c>
      <c r="S390" s="1212"/>
      <c r="T390" s="1210"/>
      <c r="U390" s="1212"/>
      <c r="V390" s="1210"/>
      <c r="W390" s="1212"/>
      <c r="X390" s="1210"/>
      <c r="Y390" s="1212">
        <f t="shared" ref="Y390:Z395" si="139">Q390+S390+U390+W390</f>
        <v>0.05</v>
      </c>
      <c r="Z390" s="1211">
        <f t="shared" si="139"/>
        <v>6882295</v>
      </c>
      <c r="AA390" s="1212">
        <f t="shared" ref="AA390:AB395" si="140">M390+Y390</f>
        <v>1.05</v>
      </c>
      <c r="AB390" s="1211">
        <f t="shared" si="140"/>
        <v>5751112308</v>
      </c>
      <c r="AC390" s="1214">
        <f t="shared" ref="AC390:AD395" si="141">AA390/K390*100%</f>
        <v>1.05</v>
      </c>
      <c r="AD390" s="1216">
        <f t="shared" si="141"/>
        <v>0.76751460202847321</v>
      </c>
      <c r="AE390" s="383"/>
    </row>
    <row r="391" spans="1:31" s="494" customFormat="1" ht="53.25" customHeight="1">
      <c r="A391" s="384"/>
      <c r="B391" s="384"/>
      <c r="C391" s="623" t="s">
        <v>66</v>
      </c>
      <c r="D391" s="623" t="s">
        <v>196</v>
      </c>
      <c r="E391" s="623" t="s">
        <v>66</v>
      </c>
      <c r="F391" s="383">
        <v>23</v>
      </c>
      <c r="G391" s="1236">
        <v>12</v>
      </c>
      <c r="H391" s="1236"/>
      <c r="I391" s="1200" t="s">
        <v>1876</v>
      </c>
      <c r="J391" s="1200" t="s">
        <v>1877</v>
      </c>
      <c r="K391" s="1219">
        <v>1</v>
      </c>
      <c r="L391" s="1202">
        <v>800000000</v>
      </c>
      <c r="M391" s="1274">
        <v>1</v>
      </c>
      <c r="N391" s="1202">
        <v>10000000</v>
      </c>
      <c r="O391" s="1219">
        <v>1</v>
      </c>
      <c r="P391" s="681">
        <v>10000000</v>
      </c>
      <c r="Q391" s="1214">
        <v>0</v>
      </c>
      <c r="R391" s="1210">
        <v>0</v>
      </c>
      <c r="S391" s="1212"/>
      <c r="T391" s="1210"/>
      <c r="U391" s="1235"/>
      <c r="V391" s="1221"/>
      <c r="W391" s="1219"/>
      <c r="X391" s="1221"/>
      <c r="Y391" s="1214">
        <f t="shared" si="139"/>
        <v>0</v>
      </c>
      <c r="Z391" s="1211">
        <f t="shared" si="139"/>
        <v>0</v>
      </c>
      <c r="AA391" s="1214">
        <f t="shared" si="140"/>
        <v>1</v>
      </c>
      <c r="AB391" s="1215">
        <f t="shared" si="140"/>
        <v>10000000</v>
      </c>
      <c r="AC391" s="1214">
        <f t="shared" si="141"/>
        <v>1</v>
      </c>
      <c r="AD391" s="1216">
        <f t="shared" si="141"/>
        <v>1.2500000000000001E-2</v>
      </c>
      <c r="AE391" s="384"/>
    </row>
    <row r="392" spans="1:31" s="494" customFormat="1" ht="38.25">
      <c r="A392" s="384"/>
      <c r="B392" s="384"/>
      <c r="C392" s="623" t="s">
        <v>66</v>
      </c>
      <c r="D392" s="623" t="s">
        <v>196</v>
      </c>
      <c r="E392" s="623" t="s">
        <v>66</v>
      </c>
      <c r="F392" s="383">
        <v>23</v>
      </c>
      <c r="G392" s="1256" t="s">
        <v>197</v>
      </c>
      <c r="H392" s="1236"/>
      <c r="I392" s="1200" t="s">
        <v>1878</v>
      </c>
      <c r="J392" s="1200" t="s">
        <v>1879</v>
      </c>
      <c r="K392" s="1219">
        <v>1</v>
      </c>
      <c r="L392" s="1202">
        <v>80000000</v>
      </c>
      <c r="M392" s="1274">
        <v>1</v>
      </c>
      <c r="N392" s="1202">
        <v>70675000</v>
      </c>
      <c r="O392" s="1219">
        <v>1</v>
      </c>
      <c r="P392" s="681">
        <v>161210772</v>
      </c>
      <c r="Q392" s="1214">
        <v>0</v>
      </c>
      <c r="R392" s="1210">
        <v>0</v>
      </c>
      <c r="S392" s="1212"/>
      <c r="T392" s="1221"/>
      <c r="U392" s="1212"/>
      <c r="V392" s="1221"/>
      <c r="W392" s="1214"/>
      <c r="X392" s="1221"/>
      <c r="Y392" s="1214">
        <f t="shared" si="139"/>
        <v>0</v>
      </c>
      <c r="Z392" s="1215">
        <f t="shared" si="139"/>
        <v>0</v>
      </c>
      <c r="AA392" s="1214">
        <f t="shared" si="140"/>
        <v>1</v>
      </c>
      <c r="AB392" s="1215">
        <f t="shared" si="140"/>
        <v>70675000</v>
      </c>
      <c r="AC392" s="1214">
        <f t="shared" si="141"/>
        <v>1</v>
      </c>
      <c r="AD392" s="1216">
        <f t="shared" si="141"/>
        <v>0.88343749999999999</v>
      </c>
      <c r="AE392" s="384"/>
    </row>
    <row r="393" spans="1:31" s="494" customFormat="1" ht="26.25" customHeight="1">
      <c r="A393" s="384"/>
      <c r="B393" s="384"/>
      <c r="C393" s="623" t="s">
        <v>66</v>
      </c>
      <c r="D393" s="623" t="s">
        <v>196</v>
      </c>
      <c r="E393" s="623" t="s">
        <v>66</v>
      </c>
      <c r="F393" s="383">
        <v>23</v>
      </c>
      <c r="G393" s="1236">
        <v>15</v>
      </c>
      <c r="H393" s="1236"/>
      <c r="I393" s="1200" t="s">
        <v>1880</v>
      </c>
      <c r="J393" s="384"/>
      <c r="K393" s="1219">
        <v>1</v>
      </c>
      <c r="L393" s="1202">
        <v>130000000</v>
      </c>
      <c r="M393" s="1274">
        <v>1</v>
      </c>
      <c r="N393" s="1202">
        <v>89566640</v>
      </c>
      <c r="O393" s="591">
        <v>1</v>
      </c>
      <c r="P393" s="590">
        <v>127512821.5</v>
      </c>
      <c r="Q393" s="1195">
        <v>0.1</v>
      </c>
      <c r="R393" s="1202">
        <v>6882295</v>
      </c>
      <c r="S393" s="1193"/>
      <c r="T393" s="1202"/>
      <c r="U393" s="1193"/>
      <c r="V393" s="1202"/>
      <c r="W393" s="1214"/>
      <c r="X393" s="1202"/>
      <c r="Y393" s="1214">
        <f t="shared" si="139"/>
        <v>0.1</v>
      </c>
      <c r="Z393" s="1215">
        <f t="shared" si="139"/>
        <v>6882295</v>
      </c>
      <c r="AA393" s="1214">
        <f t="shared" si="140"/>
        <v>1.1000000000000001</v>
      </c>
      <c r="AB393" s="1215">
        <f t="shared" si="140"/>
        <v>96448935</v>
      </c>
      <c r="AC393" s="1214">
        <f t="shared" si="141"/>
        <v>1.1000000000000001</v>
      </c>
      <c r="AD393" s="1216">
        <f t="shared" si="141"/>
        <v>0.74191488461538457</v>
      </c>
      <c r="AE393" s="384"/>
    </row>
    <row r="394" spans="1:31" s="494" customFormat="1" ht="25.5">
      <c r="A394" s="384"/>
      <c r="B394" s="384"/>
      <c r="C394" s="623" t="s">
        <v>66</v>
      </c>
      <c r="D394" s="623" t="s">
        <v>196</v>
      </c>
      <c r="E394" s="623" t="s">
        <v>66</v>
      </c>
      <c r="F394" s="383">
        <v>23</v>
      </c>
      <c r="G394" s="1256" t="s">
        <v>95</v>
      </c>
      <c r="H394" s="1236"/>
      <c r="I394" s="1200" t="s">
        <v>1881</v>
      </c>
      <c r="J394" s="1200" t="s">
        <v>1882</v>
      </c>
      <c r="K394" s="1219">
        <v>1</v>
      </c>
      <c r="L394" s="1202">
        <v>900000000</v>
      </c>
      <c r="M394" s="1274">
        <v>1</v>
      </c>
      <c r="N394" s="1202"/>
      <c r="O394" s="1219">
        <v>1</v>
      </c>
      <c r="P394" s="681">
        <v>890900000</v>
      </c>
      <c r="Q394" s="1212"/>
      <c r="R394" s="1210"/>
      <c r="S394" s="1212"/>
      <c r="T394" s="1221"/>
      <c r="U394" s="1212"/>
      <c r="V394" s="1221"/>
      <c r="W394" s="1214"/>
      <c r="X394" s="1221"/>
      <c r="Y394" s="1214">
        <f t="shared" si="139"/>
        <v>0</v>
      </c>
      <c r="Z394" s="1215">
        <f t="shared" si="139"/>
        <v>0</v>
      </c>
      <c r="AA394" s="1214">
        <f t="shared" si="140"/>
        <v>1</v>
      </c>
      <c r="AB394" s="1215">
        <f t="shared" si="140"/>
        <v>0</v>
      </c>
      <c r="AC394" s="1214">
        <f t="shared" si="141"/>
        <v>1</v>
      </c>
      <c r="AD394" s="1216">
        <f t="shared" si="141"/>
        <v>0</v>
      </c>
      <c r="AE394" s="384"/>
    </row>
    <row r="395" spans="1:31" s="494" customFormat="1" ht="37.5" customHeight="1">
      <c r="A395" s="384"/>
      <c r="B395" s="384"/>
      <c r="C395" s="623" t="s">
        <v>66</v>
      </c>
      <c r="D395" s="623" t="s">
        <v>196</v>
      </c>
      <c r="E395" s="623" t="s">
        <v>66</v>
      </c>
      <c r="F395" s="383">
        <v>23</v>
      </c>
      <c r="G395" s="384">
        <v>29</v>
      </c>
      <c r="H395" s="384"/>
      <c r="I395" s="1200" t="s">
        <v>1883</v>
      </c>
      <c r="J395" s="1200" t="s">
        <v>1884</v>
      </c>
      <c r="K395" s="1219">
        <v>1</v>
      </c>
      <c r="L395" s="1202">
        <v>5583163378</v>
      </c>
      <c r="M395" s="1274">
        <v>1</v>
      </c>
      <c r="N395" s="1202">
        <v>5573988373</v>
      </c>
      <c r="O395" s="591"/>
      <c r="P395" s="590"/>
      <c r="Q395" s="1193"/>
      <c r="R395" s="1202"/>
      <c r="S395" s="1193"/>
      <c r="T395" s="1202"/>
      <c r="U395" s="1193"/>
      <c r="V395" s="1202"/>
      <c r="W395" s="1214"/>
      <c r="X395" s="1202"/>
      <c r="Y395" s="1214">
        <f t="shared" si="139"/>
        <v>0</v>
      </c>
      <c r="Z395" s="1215">
        <f t="shared" si="139"/>
        <v>0</v>
      </c>
      <c r="AA395" s="1214">
        <f t="shared" si="140"/>
        <v>1</v>
      </c>
      <c r="AB395" s="1215">
        <f t="shared" si="140"/>
        <v>5573988373</v>
      </c>
      <c r="AC395" s="1214">
        <f t="shared" si="141"/>
        <v>1</v>
      </c>
      <c r="AD395" s="1216">
        <f t="shared" si="141"/>
        <v>0.99835666549967828</v>
      </c>
      <c r="AE395" s="384"/>
    </row>
    <row r="396" spans="1:31" s="494" customFormat="1" ht="27.75" customHeight="1">
      <c r="A396" s="2398" t="s">
        <v>89</v>
      </c>
      <c r="B396" s="2398"/>
      <c r="C396" s="2398"/>
      <c r="D396" s="2398"/>
      <c r="E396" s="2398"/>
      <c r="F396" s="2398"/>
      <c r="G396" s="2398"/>
      <c r="H396" s="2398"/>
      <c r="I396" s="2398"/>
      <c r="J396" s="2398"/>
      <c r="K396" s="2398"/>
      <c r="L396" s="2398"/>
      <c r="M396" s="2398"/>
      <c r="N396" s="2398"/>
      <c r="O396" s="2398"/>
      <c r="P396" s="2398"/>
      <c r="Q396" s="2398"/>
      <c r="R396" s="2398"/>
      <c r="S396" s="2398"/>
      <c r="T396" s="2398"/>
      <c r="U396" s="2398"/>
      <c r="V396" s="2398"/>
      <c r="W396" s="2398"/>
      <c r="X396" s="2398"/>
      <c r="Y396" s="2398"/>
      <c r="Z396" s="2398"/>
      <c r="AA396" s="2398"/>
      <c r="AB396" s="2398"/>
      <c r="AC396" s="1195">
        <f>AVERAGE(AC391:AC395)</f>
        <v>1.02</v>
      </c>
      <c r="AD396" s="1195">
        <f>AD390</f>
        <v>0.76751460202847321</v>
      </c>
      <c r="AE396" s="384"/>
    </row>
    <row r="397" spans="1:31" s="494" customFormat="1">
      <c r="A397" s="2398" t="s">
        <v>1679</v>
      </c>
      <c r="B397" s="2398"/>
      <c r="C397" s="2398"/>
      <c r="D397" s="2398"/>
      <c r="E397" s="2398"/>
      <c r="F397" s="2398"/>
      <c r="G397" s="2398"/>
      <c r="H397" s="2398"/>
      <c r="I397" s="2398"/>
      <c r="J397" s="2398"/>
      <c r="K397" s="2398"/>
      <c r="L397" s="2398"/>
      <c r="M397" s="2398"/>
      <c r="N397" s="2398"/>
      <c r="O397" s="2398"/>
      <c r="P397" s="2398"/>
      <c r="Q397" s="2398"/>
      <c r="R397" s="2398"/>
      <c r="S397" s="2398"/>
      <c r="T397" s="2398"/>
      <c r="U397" s="2398"/>
      <c r="V397" s="2398"/>
      <c r="W397" s="2398"/>
      <c r="X397" s="2398"/>
      <c r="Y397" s="2398"/>
      <c r="Z397" s="2398"/>
      <c r="AA397" s="2398"/>
      <c r="AB397" s="2398"/>
      <c r="AC397" s="384"/>
      <c r="AD397" s="384"/>
      <c r="AE397" s="384"/>
    </row>
    <row r="398" spans="1:31" s="498" customFormat="1" ht="78.75" customHeight="1">
      <c r="A398" s="383">
        <v>17</v>
      </c>
      <c r="B398" s="383" t="s">
        <v>1770</v>
      </c>
      <c r="C398" s="623" t="s">
        <v>66</v>
      </c>
      <c r="D398" s="623" t="s">
        <v>196</v>
      </c>
      <c r="E398" s="623" t="s">
        <v>66</v>
      </c>
      <c r="F398" s="383">
        <v>27</v>
      </c>
      <c r="G398" s="383"/>
      <c r="H398" s="1236"/>
      <c r="I398" s="1237" t="s">
        <v>1885</v>
      </c>
      <c r="J398" s="384" t="s">
        <v>1886</v>
      </c>
      <c r="K398" s="1219">
        <v>1</v>
      </c>
      <c r="L398" s="1275">
        <f>SUM(L399:L403)</f>
        <v>5150000000</v>
      </c>
      <c r="M398" s="1219">
        <v>1</v>
      </c>
      <c r="N398" s="1221">
        <f>SUM(N399:N403)</f>
        <v>2068185380</v>
      </c>
      <c r="O398" s="1219">
        <v>1</v>
      </c>
      <c r="P398" s="1213">
        <f>SUM(P399:P407)</f>
        <v>15430433263.5</v>
      </c>
      <c r="Q398" s="1212">
        <v>0.02</v>
      </c>
      <c r="R398" s="1221">
        <f>SUM(R399:R407)</f>
        <v>24745374</v>
      </c>
      <c r="S398" s="1212"/>
      <c r="T398" s="1221"/>
      <c r="U398" s="1212"/>
      <c r="V398" s="1221"/>
      <c r="W398" s="1212"/>
      <c r="X398" s="1221"/>
      <c r="Y398" s="1214">
        <f t="shared" ref="Y398:Z401" si="142">Q398+S398+U398+W398</f>
        <v>0.02</v>
      </c>
      <c r="Z398" s="1211">
        <f t="shared" si="142"/>
        <v>24745374</v>
      </c>
      <c r="AA398" s="1214">
        <f t="shared" ref="AA398:AB407" si="143">M398+Y398</f>
        <v>1.02</v>
      </c>
      <c r="AB398" s="1215">
        <f t="shared" si="143"/>
        <v>2092930754</v>
      </c>
      <c r="AC398" s="1214">
        <f t="shared" ref="AC398:AD407" si="144">AA398/K398*100%</f>
        <v>1.02</v>
      </c>
      <c r="AD398" s="1223">
        <f t="shared" si="144"/>
        <v>0.40639432116504853</v>
      </c>
      <c r="AE398" s="384"/>
    </row>
    <row r="399" spans="1:31" s="494" customFormat="1" ht="51">
      <c r="A399" s="384"/>
      <c r="B399" s="384"/>
      <c r="C399" s="623" t="s">
        <v>66</v>
      </c>
      <c r="D399" s="623" t="s">
        <v>196</v>
      </c>
      <c r="E399" s="623" t="s">
        <v>66</v>
      </c>
      <c r="F399" s="383">
        <v>27</v>
      </c>
      <c r="G399" s="1236">
        <v>13</v>
      </c>
      <c r="H399" s="1236"/>
      <c r="I399" s="1276" t="s">
        <v>1887</v>
      </c>
      <c r="J399" s="1276" t="s">
        <v>1888</v>
      </c>
      <c r="K399" s="1219">
        <v>1</v>
      </c>
      <c r="L399" s="1202">
        <v>250000000</v>
      </c>
      <c r="M399" s="591">
        <v>1</v>
      </c>
      <c r="N399" s="1202">
        <v>95760780</v>
      </c>
      <c r="O399" s="591">
        <v>1</v>
      </c>
      <c r="P399" s="590">
        <v>479650012.5</v>
      </c>
      <c r="Q399" s="1195">
        <v>0</v>
      </c>
      <c r="R399" s="1202">
        <v>1669149</v>
      </c>
      <c r="S399" s="1195"/>
      <c r="T399" s="1202"/>
      <c r="U399" s="1195"/>
      <c r="V399" s="1202"/>
      <c r="W399" s="1214"/>
      <c r="X399" s="1221"/>
      <c r="Y399" s="1214">
        <f t="shared" si="142"/>
        <v>0</v>
      </c>
      <c r="Z399" s="1215">
        <f t="shared" si="142"/>
        <v>1669149</v>
      </c>
      <c r="AA399" s="1214">
        <f t="shared" si="143"/>
        <v>1</v>
      </c>
      <c r="AB399" s="1215">
        <f t="shared" si="143"/>
        <v>97429929</v>
      </c>
      <c r="AC399" s="1214">
        <f t="shared" si="144"/>
        <v>1</v>
      </c>
      <c r="AD399" s="1223">
        <f t="shared" si="144"/>
        <v>0.38971971599999999</v>
      </c>
      <c r="AE399" s="384"/>
    </row>
    <row r="400" spans="1:31" s="494" customFormat="1" ht="38.25">
      <c r="A400" s="384"/>
      <c r="B400" s="384"/>
      <c r="C400" s="623" t="s">
        <v>66</v>
      </c>
      <c r="D400" s="623" t="s">
        <v>196</v>
      </c>
      <c r="E400" s="623" t="s">
        <v>66</v>
      </c>
      <c r="F400" s="383">
        <v>27</v>
      </c>
      <c r="G400" s="384">
        <v>14</v>
      </c>
      <c r="H400" s="384"/>
      <c r="I400" s="1234" t="s">
        <v>1889</v>
      </c>
      <c r="J400" s="1276" t="s">
        <v>1890</v>
      </c>
      <c r="K400" s="1219">
        <v>1</v>
      </c>
      <c r="L400" s="1202">
        <v>3000000000</v>
      </c>
      <c r="M400" s="591">
        <v>1</v>
      </c>
      <c r="N400" s="1202">
        <v>471454900</v>
      </c>
      <c r="O400" s="591">
        <v>1</v>
      </c>
      <c r="P400" s="590">
        <v>0</v>
      </c>
      <c r="Q400" s="1195"/>
      <c r="R400" s="1202"/>
      <c r="S400" s="1195"/>
      <c r="T400" s="1202"/>
      <c r="U400" s="1195"/>
      <c r="V400" s="1202"/>
      <c r="W400" s="1214"/>
      <c r="X400" s="1221"/>
      <c r="Y400" s="1214">
        <f t="shared" si="142"/>
        <v>0</v>
      </c>
      <c r="Z400" s="1215">
        <f t="shared" si="142"/>
        <v>0</v>
      </c>
      <c r="AA400" s="1214">
        <f t="shared" si="143"/>
        <v>1</v>
      </c>
      <c r="AB400" s="1215">
        <f t="shared" si="143"/>
        <v>471454900</v>
      </c>
      <c r="AC400" s="1214">
        <f t="shared" si="144"/>
        <v>1</v>
      </c>
      <c r="AD400" s="1223">
        <f t="shared" si="144"/>
        <v>0.15715163333333335</v>
      </c>
      <c r="AE400" s="384"/>
    </row>
    <row r="401" spans="1:32" s="494" customFormat="1" ht="38.25">
      <c r="A401" s="384"/>
      <c r="B401" s="384"/>
      <c r="C401" s="623" t="s">
        <v>66</v>
      </c>
      <c r="D401" s="623" t="s">
        <v>196</v>
      </c>
      <c r="E401" s="623" t="s">
        <v>66</v>
      </c>
      <c r="F401" s="383">
        <v>27</v>
      </c>
      <c r="G401" s="1236">
        <v>19</v>
      </c>
      <c r="H401" s="1236"/>
      <c r="I401" s="1277" t="s">
        <v>1891</v>
      </c>
      <c r="J401" s="1277" t="s">
        <v>1892</v>
      </c>
      <c r="K401" s="1219">
        <v>1</v>
      </c>
      <c r="L401" s="1202">
        <v>200000000</v>
      </c>
      <c r="M401" s="591">
        <v>1</v>
      </c>
      <c r="N401" s="1202">
        <v>39014700</v>
      </c>
      <c r="O401" s="591">
        <v>1</v>
      </c>
      <c r="P401" s="590">
        <v>168125251</v>
      </c>
      <c r="Q401" s="1195">
        <v>0.1</v>
      </c>
      <c r="R401" s="1202">
        <v>18638539</v>
      </c>
      <c r="S401" s="1195"/>
      <c r="T401" s="1202"/>
      <c r="U401" s="1195"/>
      <c r="V401" s="1202"/>
      <c r="W401" s="1214"/>
      <c r="X401" s="1221"/>
      <c r="Y401" s="1214">
        <f t="shared" si="142"/>
        <v>0.1</v>
      </c>
      <c r="Z401" s="1215">
        <f t="shared" si="142"/>
        <v>18638539</v>
      </c>
      <c r="AA401" s="1214">
        <f t="shared" si="143"/>
        <v>1.1000000000000001</v>
      </c>
      <c r="AB401" s="1215">
        <f t="shared" si="143"/>
        <v>57653239</v>
      </c>
      <c r="AC401" s="1214">
        <f t="shared" si="144"/>
        <v>1.1000000000000001</v>
      </c>
      <c r="AD401" s="1223">
        <f t="shared" si="144"/>
        <v>0.288266195</v>
      </c>
      <c r="AE401" s="384"/>
    </row>
    <row r="402" spans="1:32" s="494" customFormat="1" ht="25.5">
      <c r="A402" s="384"/>
      <c r="B402" s="384"/>
      <c r="C402" s="623" t="s">
        <v>66</v>
      </c>
      <c r="D402" s="623" t="s">
        <v>196</v>
      </c>
      <c r="E402" s="623" t="s">
        <v>66</v>
      </c>
      <c r="F402" s="383">
        <v>27</v>
      </c>
      <c r="G402" s="384">
        <v>20</v>
      </c>
      <c r="H402" s="384"/>
      <c r="I402" s="1276" t="s">
        <v>1893</v>
      </c>
      <c r="J402" s="384"/>
      <c r="K402" s="1219">
        <v>1</v>
      </c>
      <c r="L402" s="1202">
        <v>1500000000</v>
      </c>
      <c r="M402" s="591">
        <v>1</v>
      </c>
      <c r="N402" s="1202">
        <v>1412394000</v>
      </c>
      <c r="O402" s="591">
        <v>1</v>
      </c>
      <c r="P402" s="590">
        <v>0</v>
      </c>
      <c r="Q402" s="1193"/>
      <c r="R402" s="1202"/>
      <c r="S402" s="1193"/>
      <c r="T402" s="1202"/>
      <c r="U402" s="1193"/>
      <c r="V402" s="1202"/>
      <c r="W402" s="1214"/>
      <c r="X402" s="1202"/>
      <c r="Y402" s="1195">
        <f>W402</f>
        <v>0</v>
      </c>
      <c r="Z402" s="1215">
        <f>X402</f>
        <v>0</v>
      </c>
      <c r="AA402" s="1214">
        <f t="shared" si="143"/>
        <v>1</v>
      </c>
      <c r="AB402" s="1215">
        <f t="shared" si="143"/>
        <v>1412394000</v>
      </c>
      <c r="AC402" s="1214">
        <f t="shared" si="144"/>
        <v>1</v>
      </c>
      <c r="AD402" s="1223">
        <f t="shared" si="144"/>
        <v>0.94159599999999999</v>
      </c>
      <c r="AE402" s="384"/>
    </row>
    <row r="403" spans="1:32" s="494" customFormat="1" ht="25.5">
      <c r="A403" s="384"/>
      <c r="B403" s="384"/>
      <c r="C403" s="623" t="s">
        <v>66</v>
      </c>
      <c r="D403" s="623" t="s">
        <v>196</v>
      </c>
      <c r="E403" s="623" t="s">
        <v>66</v>
      </c>
      <c r="F403" s="383">
        <v>27</v>
      </c>
      <c r="G403" s="384">
        <v>22</v>
      </c>
      <c r="H403" s="384"/>
      <c r="I403" s="1234" t="s">
        <v>1894</v>
      </c>
      <c r="J403" s="384" t="s">
        <v>1895</v>
      </c>
      <c r="K403" s="1219">
        <v>1</v>
      </c>
      <c r="L403" s="1202">
        <v>200000000</v>
      </c>
      <c r="M403" s="591">
        <v>1</v>
      </c>
      <c r="N403" s="1202">
        <v>49561000</v>
      </c>
      <c r="O403" s="591">
        <v>1</v>
      </c>
      <c r="P403" s="590">
        <v>0</v>
      </c>
      <c r="Q403" s="1193"/>
      <c r="R403" s="1202"/>
      <c r="S403" s="1193"/>
      <c r="T403" s="1202"/>
      <c r="U403" s="1193"/>
      <c r="V403" s="1202"/>
      <c r="W403" s="1214"/>
      <c r="X403" s="1202"/>
      <c r="Y403" s="1195">
        <f>W403</f>
        <v>0</v>
      </c>
      <c r="Z403" s="1215">
        <f>X403</f>
        <v>0</v>
      </c>
      <c r="AA403" s="1214">
        <f t="shared" si="143"/>
        <v>1</v>
      </c>
      <c r="AB403" s="1215">
        <f t="shared" si="143"/>
        <v>49561000</v>
      </c>
      <c r="AC403" s="1214">
        <f t="shared" si="144"/>
        <v>1</v>
      </c>
      <c r="AD403" s="1223">
        <f t="shared" si="144"/>
        <v>0.247805</v>
      </c>
      <c r="AE403" s="384"/>
    </row>
    <row r="404" spans="1:32" s="494" customFormat="1" ht="38.25">
      <c r="A404" s="384"/>
      <c r="B404" s="384"/>
      <c r="C404" s="623" t="s">
        <v>66</v>
      </c>
      <c r="D404" s="623" t="s">
        <v>196</v>
      </c>
      <c r="E404" s="623" t="s">
        <v>66</v>
      </c>
      <c r="F404" s="383">
        <v>27</v>
      </c>
      <c r="G404" s="1236">
        <v>23</v>
      </c>
      <c r="H404" s="1236"/>
      <c r="I404" s="1276" t="s">
        <v>1896</v>
      </c>
      <c r="J404" s="384" t="s">
        <v>1886</v>
      </c>
      <c r="K404" s="1219">
        <v>1</v>
      </c>
      <c r="L404" s="1202">
        <v>5500000000</v>
      </c>
      <c r="M404" s="591">
        <v>0</v>
      </c>
      <c r="N404" s="1202">
        <v>0</v>
      </c>
      <c r="O404" s="591">
        <v>1</v>
      </c>
      <c r="P404" s="590">
        <v>5471761000</v>
      </c>
      <c r="Q404" s="1195">
        <v>0</v>
      </c>
      <c r="R404" s="1202">
        <v>2523350</v>
      </c>
      <c r="S404" s="1195"/>
      <c r="T404" s="1202"/>
      <c r="U404" s="1195"/>
      <c r="V404" s="1202"/>
      <c r="W404" s="1214"/>
      <c r="X404" s="1221"/>
      <c r="Y404" s="1214">
        <f t="shared" ref="Y404:Z407" si="145">Q404+S404+U404+W404</f>
        <v>0</v>
      </c>
      <c r="Z404" s="1215">
        <f t="shared" si="145"/>
        <v>2523350</v>
      </c>
      <c r="AA404" s="1214">
        <f t="shared" si="143"/>
        <v>0</v>
      </c>
      <c r="AB404" s="1215">
        <f t="shared" si="143"/>
        <v>2523350</v>
      </c>
      <c r="AC404" s="1214">
        <f t="shared" si="144"/>
        <v>0</v>
      </c>
      <c r="AD404" s="1223">
        <f t="shared" si="144"/>
        <v>4.587909090909091E-4</v>
      </c>
      <c r="AE404" s="384"/>
    </row>
    <row r="405" spans="1:32" s="494" customFormat="1" ht="38.25">
      <c r="A405" s="384"/>
      <c r="B405" s="384"/>
      <c r="C405" s="623" t="s">
        <v>66</v>
      </c>
      <c r="D405" s="623" t="s">
        <v>196</v>
      </c>
      <c r="E405" s="623" t="s">
        <v>66</v>
      </c>
      <c r="F405" s="383">
        <v>27</v>
      </c>
      <c r="G405" s="1236">
        <v>24</v>
      </c>
      <c r="H405" s="1236"/>
      <c r="I405" s="1276" t="s">
        <v>1897</v>
      </c>
      <c r="J405" s="384" t="s">
        <v>1886</v>
      </c>
      <c r="K405" s="1219">
        <v>1</v>
      </c>
      <c r="L405" s="1202">
        <v>2000000000</v>
      </c>
      <c r="M405" s="591">
        <v>0</v>
      </c>
      <c r="N405" s="1202">
        <v>0</v>
      </c>
      <c r="O405" s="591">
        <v>1</v>
      </c>
      <c r="P405" s="590">
        <v>1592651000</v>
      </c>
      <c r="Q405" s="1195">
        <v>0</v>
      </c>
      <c r="R405" s="1202">
        <v>1189336</v>
      </c>
      <c r="S405" s="1195"/>
      <c r="T405" s="1202"/>
      <c r="U405" s="1195"/>
      <c r="V405" s="1202"/>
      <c r="W405" s="1214"/>
      <c r="X405" s="1221"/>
      <c r="Y405" s="1214">
        <f t="shared" si="145"/>
        <v>0</v>
      </c>
      <c r="Z405" s="1215">
        <f t="shared" si="145"/>
        <v>1189336</v>
      </c>
      <c r="AA405" s="1214">
        <f t="shared" si="143"/>
        <v>0</v>
      </c>
      <c r="AB405" s="1215">
        <f t="shared" si="143"/>
        <v>1189336</v>
      </c>
      <c r="AC405" s="1214">
        <f t="shared" si="144"/>
        <v>0</v>
      </c>
      <c r="AD405" s="1223">
        <f t="shared" si="144"/>
        <v>5.9466800000000002E-4</v>
      </c>
      <c r="AE405" s="384"/>
    </row>
    <row r="406" spans="1:32" s="494" customFormat="1" ht="25.5">
      <c r="A406" s="384"/>
      <c r="B406" s="384"/>
      <c r="C406" s="623" t="s">
        <v>66</v>
      </c>
      <c r="D406" s="623" t="s">
        <v>196</v>
      </c>
      <c r="E406" s="623" t="s">
        <v>66</v>
      </c>
      <c r="F406" s="383">
        <v>27</v>
      </c>
      <c r="G406" s="1236">
        <v>25</v>
      </c>
      <c r="H406" s="1236"/>
      <c r="I406" s="1276" t="s">
        <v>1898</v>
      </c>
      <c r="J406" s="384" t="s">
        <v>1899</v>
      </c>
      <c r="K406" s="1219">
        <v>1</v>
      </c>
      <c r="L406" s="1202">
        <v>2000000000</v>
      </c>
      <c r="M406" s="591">
        <v>0</v>
      </c>
      <c r="N406" s="1202">
        <v>0</v>
      </c>
      <c r="O406" s="591">
        <v>1</v>
      </c>
      <c r="P406" s="590">
        <v>1785376000</v>
      </c>
      <c r="Q406" s="1195">
        <v>0</v>
      </c>
      <c r="R406" s="1202">
        <v>725000</v>
      </c>
      <c r="S406" s="1195"/>
      <c r="T406" s="1202"/>
      <c r="U406" s="1195"/>
      <c r="V406" s="1202"/>
      <c r="W406" s="1214"/>
      <c r="X406" s="1221"/>
      <c r="Y406" s="1214">
        <f t="shared" si="145"/>
        <v>0</v>
      </c>
      <c r="Z406" s="1215">
        <f t="shared" si="145"/>
        <v>725000</v>
      </c>
      <c r="AA406" s="1214">
        <f t="shared" si="143"/>
        <v>0</v>
      </c>
      <c r="AB406" s="1215">
        <f t="shared" si="143"/>
        <v>725000</v>
      </c>
      <c r="AC406" s="1214">
        <f t="shared" si="144"/>
        <v>0</v>
      </c>
      <c r="AD406" s="1223">
        <f t="shared" si="144"/>
        <v>3.6249999999999998E-4</v>
      </c>
      <c r="AE406" s="384"/>
    </row>
    <row r="407" spans="1:32" s="494" customFormat="1" ht="38.25">
      <c r="A407" s="384"/>
      <c r="B407" s="384"/>
      <c r="C407" s="623" t="s">
        <v>66</v>
      </c>
      <c r="D407" s="623" t="s">
        <v>196</v>
      </c>
      <c r="E407" s="623" t="s">
        <v>66</v>
      </c>
      <c r="F407" s="383">
        <v>27</v>
      </c>
      <c r="G407" s="1236">
        <v>26</v>
      </c>
      <c r="H407" s="1236"/>
      <c r="I407" s="1276" t="s">
        <v>1900</v>
      </c>
      <c r="J407" s="384" t="s">
        <v>1899</v>
      </c>
      <c r="K407" s="1219">
        <v>1</v>
      </c>
      <c r="L407" s="1202">
        <v>6000000000</v>
      </c>
      <c r="M407" s="591">
        <v>0</v>
      </c>
      <c r="N407" s="1202">
        <v>0</v>
      </c>
      <c r="O407" s="591">
        <v>1</v>
      </c>
      <c r="P407" s="590">
        <v>5932870000</v>
      </c>
      <c r="Q407" s="1195">
        <v>0</v>
      </c>
      <c r="R407" s="1202"/>
      <c r="S407" s="1195"/>
      <c r="T407" s="1202"/>
      <c r="U407" s="1195"/>
      <c r="V407" s="1202"/>
      <c r="W407" s="1214"/>
      <c r="X407" s="1221"/>
      <c r="Y407" s="1214">
        <f t="shared" si="145"/>
        <v>0</v>
      </c>
      <c r="Z407" s="1215">
        <f t="shared" si="145"/>
        <v>0</v>
      </c>
      <c r="AA407" s="1214">
        <f t="shared" si="143"/>
        <v>0</v>
      </c>
      <c r="AB407" s="1215">
        <f t="shared" si="143"/>
        <v>0</v>
      </c>
      <c r="AC407" s="1214">
        <f t="shared" si="144"/>
        <v>0</v>
      </c>
      <c r="AD407" s="1223">
        <f t="shared" si="144"/>
        <v>0</v>
      </c>
      <c r="AE407" s="384"/>
    </row>
    <row r="408" spans="1:32" s="494" customFormat="1" ht="27.75" customHeight="1">
      <c r="A408" s="2398" t="s">
        <v>89</v>
      </c>
      <c r="B408" s="2398"/>
      <c r="C408" s="2398"/>
      <c r="D408" s="2398"/>
      <c r="E408" s="2398"/>
      <c r="F408" s="2398"/>
      <c r="G408" s="2398"/>
      <c r="H408" s="2398"/>
      <c r="I408" s="2398"/>
      <c r="J408" s="2398"/>
      <c r="K408" s="2398"/>
      <c r="L408" s="2398"/>
      <c r="M408" s="2398"/>
      <c r="N408" s="2398"/>
      <c r="O408" s="2398"/>
      <c r="P408" s="2398"/>
      <c r="Q408" s="2398"/>
      <c r="R408" s="2398"/>
      <c r="S408" s="2398"/>
      <c r="T408" s="2398"/>
      <c r="U408" s="2398"/>
      <c r="V408" s="2398"/>
      <c r="W408" s="2398"/>
      <c r="X408" s="2398"/>
      <c r="Y408" s="2398"/>
      <c r="Z408" s="2398"/>
      <c r="AA408" s="2398"/>
      <c r="AB408" s="2398"/>
      <c r="AC408" s="1195">
        <f>AVERAGE(AC399:AC407)</f>
        <v>0.56666666666666665</v>
      </c>
      <c r="AD408" s="1195">
        <f>AD398</f>
        <v>0.40639432116504853</v>
      </c>
      <c r="AE408" s="384"/>
    </row>
    <row r="409" spans="1:32" s="494" customFormat="1">
      <c r="A409" s="2398" t="s">
        <v>1679</v>
      </c>
      <c r="B409" s="2398"/>
      <c r="C409" s="2398"/>
      <c r="D409" s="2398"/>
      <c r="E409" s="2398"/>
      <c r="F409" s="2398"/>
      <c r="G409" s="2398"/>
      <c r="H409" s="2398"/>
      <c r="I409" s="2398"/>
      <c r="J409" s="2398"/>
      <c r="K409" s="2398"/>
      <c r="L409" s="2398"/>
      <c r="M409" s="2398"/>
      <c r="N409" s="2398"/>
      <c r="O409" s="2398"/>
      <c r="P409" s="2398"/>
      <c r="Q409" s="2398"/>
      <c r="R409" s="2398"/>
      <c r="S409" s="2398"/>
      <c r="T409" s="2398"/>
      <c r="U409" s="2398"/>
      <c r="V409" s="2398"/>
      <c r="W409" s="2398"/>
      <c r="X409" s="2398"/>
      <c r="Y409" s="2398"/>
      <c r="Z409" s="2398"/>
      <c r="AA409" s="2398"/>
      <c r="AB409" s="2398"/>
      <c r="AC409" s="384"/>
      <c r="AD409" s="384"/>
      <c r="AE409" s="384"/>
    </row>
    <row r="410" spans="1:32" s="498" customFormat="1" ht="91.5" customHeight="1">
      <c r="A410" s="383">
        <v>18</v>
      </c>
      <c r="B410" s="383"/>
      <c r="C410" s="623" t="s">
        <v>66</v>
      </c>
      <c r="D410" s="623" t="s">
        <v>196</v>
      </c>
      <c r="E410" s="623" t="s">
        <v>66</v>
      </c>
      <c r="F410" s="383">
        <v>16</v>
      </c>
      <c r="G410" s="383"/>
      <c r="H410" s="1236"/>
      <c r="I410" s="1261" t="s">
        <v>1901</v>
      </c>
      <c r="J410" s="1261" t="s">
        <v>1902</v>
      </c>
      <c r="K410" s="1219">
        <v>1</v>
      </c>
      <c r="L410" s="1202">
        <f>SUM(L411:L413)</f>
        <v>573444297</v>
      </c>
      <c r="M410" s="591">
        <v>1</v>
      </c>
      <c r="N410" s="629">
        <f>SUM(N411:N413)</f>
        <v>238729830</v>
      </c>
      <c r="O410" s="591">
        <v>1</v>
      </c>
      <c r="P410" s="590">
        <f>P411</f>
        <v>258267823.75</v>
      </c>
      <c r="Q410" s="1193">
        <f>Q411</f>
        <v>0.13</v>
      </c>
      <c r="R410" s="1202">
        <f>R411</f>
        <v>35912420</v>
      </c>
      <c r="S410" s="1193"/>
      <c r="T410" s="1202"/>
      <c r="U410" s="1193"/>
      <c r="V410" s="1202"/>
      <c r="W410" s="1214"/>
      <c r="X410" s="1221"/>
      <c r="Y410" s="1214">
        <f>Q410+S410+U410+W410</f>
        <v>0.13</v>
      </c>
      <c r="Z410" s="1211">
        <f>R410+T410+V410+X410</f>
        <v>35912420</v>
      </c>
      <c r="AA410" s="1214">
        <f t="shared" ref="AA410:AB412" si="146">M410+Y410</f>
        <v>1.1299999999999999</v>
      </c>
      <c r="AB410" s="1215">
        <f t="shared" si="146"/>
        <v>274642250</v>
      </c>
      <c r="AC410" s="1214">
        <f>AA410/K410*100%</f>
        <v>1.1299999999999999</v>
      </c>
      <c r="AD410" s="1223">
        <f t="shared" ref="AD410:AD413" si="147">AB410/L410*100%</f>
        <v>0.47893448663942334</v>
      </c>
      <c r="AE410" s="383"/>
      <c r="AF410" s="1278"/>
    </row>
    <row r="411" spans="1:32" s="494" customFormat="1" ht="21.75" customHeight="1">
      <c r="A411" s="384"/>
      <c r="B411" s="384"/>
      <c r="C411" s="623" t="s">
        <v>66</v>
      </c>
      <c r="D411" s="623" t="s">
        <v>196</v>
      </c>
      <c r="E411" s="623" t="s">
        <v>66</v>
      </c>
      <c r="F411" s="383">
        <v>16</v>
      </c>
      <c r="G411" s="1236">
        <v>59</v>
      </c>
      <c r="H411" s="1236"/>
      <c r="I411" s="1279" t="s">
        <v>1903</v>
      </c>
      <c r="J411" s="1279" t="s">
        <v>1903</v>
      </c>
      <c r="K411" s="1219">
        <v>1</v>
      </c>
      <c r="L411" s="1202">
        <v>373444297</v>
      </c>
      <c r="M411" s="591">
        <v>1</v>
      </c>
      <c r="N411" s="1202">
        <v>237510830</v>
      </c>
      <c r="O411" s="591">
        <v>1</v>
      </c>
      <c r="P411" s="590">
        <v>258267823.75</v>
      </c>
      <c r="Q411" s="1193">
        <v>0.13</v>
      </c>
      <c r="R411" s="1202">
        <v>35912420</v>
      </c>
      <c r="S411" s="1193"/>
      <c r="T411" s="1202"/>
      <c r="U411" s="1193"/>
      <c r="V411" s="1202"/>
      <c r="W411" s="1214"/>
      <c r="X411" s="1202"/>
      <c r="Y411" s="1214">
        <f>Q411+S411+U411+W411</f>
        <v>0.13</v>
      </c>
      <c r="Z411" s="1215">
        <f>R411+T411+V411+X411</f>
        <v>35912420</v>
      </c>
      <c r="AA411" s="1214">
        <f t="shared" si="146"/>
        <v>1.1299999999999999</v>
      </c>
      <c r="AB411" s="1215">
        <f t="shared" si="146"/>
        <v>273423250</v>
      </c>
      <c r="AC411" s="1214">
        <f>AA411/K411*100%</f>
        <v>1.1299999999999999</v>
      </c>
      <c r="AD411" s="1223">
        <f t="shared" si="147"/>
        <v>0.73216608794537297</v>
      </c>
      <c r="AE411" s="384"/>
      <c r="AF411" s="1280"/>
    </row>
    <row r="412" spans="1:32" s="494" customFormat="1" ht="33.75" customHeight="1">
      <c r="A412" s="384"/>
      <c r="B412" s="384"/>
      <c r="C412" s="623" t="s">
        <v>66</v>
      </c>
      <c r="D412" s="623" t="s">
        <v>196</v>
      </c>
      <c r="E412" s="623" t="s">
        <v>66</v>
      </c>
      <c r="F412" s="383">
        <v>16</v>
      </c>
      <c r="G412" s="421">
        <v>60</v>
      </c>
      <c r="H412" s="384"/>
      <c r="I412" s="1264" t="s">
        <v>1904</v>
      </c>
      <c r="J412" s="1263" t="s">
        <v>1905</v>
      </c>
      <c r="K412" s="1219">
        <v>1</v>
      </c>
      <c r="L412" s="1202">
        <v>150000000</v>
      </c>
      <c r="M412" s="384"/>
      <c r="N412" s="1202">
        <v>1219000</v>
      </c>
      <c r="O412" s="591"/>
      <c r="P412" s="1202"/>
      <c r="Q412" s="1195"/>
      <c r="R412" s="1202"/>
      <c r="S412" s="1195"/>
      <c r="T412" s="1202"/>
      <c r="U412" s="1229"/>
      <c r="V412" s="629"/>
      <c r="W412" s="1214"/>
      <c r="X412" s="1202"/>
      <c r="Y412" s="1214">
        <v>0</v>
      </c>
      <c r="Z412" s="1215">
        <f>R412+T412+V412+X412</f>
        <v>0</v>
      </c>
      <c r="AA412" s="1214">
        <f t="shared" si="146"/>
        <v>0</v>
      </c>
      <c r="AB412" s="1215">
        <f t="shared" si="146"/>
        <v>1219000</v>
      </c>
      <c r="AC412" s="1214">
        <f>AA412/K412*100%</f>
        <v>0</v>
      </c>
      <c r="AD412" s="1223">
        <f t="shared" si="147"/>
        <v>8.1266666666666675E-3</v>
      </c>
      <c r="AE412" s="384" t="s">
        <v>1906</v>
      </c>
    </row>
    <row r="413" spans="1:32" s="494" customFormat="1" ht="37.5" customHeight="1">
      <c r="A413" s="384"/>
      <c r="B413" s="384"/>
      <c r="C413" s="623" t="s">
        <v>66</v>
      </c>
      <c r="D413" s="623" t="s">
        <v>196</v>
      </c>
      <c r="E413" s="623" t="s">
        <v>66</v>
      </c>
      <c r="F413" s="383">
        <v>16</v>
      </c>
      <c r="G413" s="421">
        <v>61</v>
      </c>
      <c r="H413" s="384"/>
      <c r="I413" s="1264" t="s">
        <v>1907</v>
      </c>
      <c r="J413" s="1263" t="s">
        <v>1908</v>
      </c>
      <c r="K413" s="1219">
        <v>1</v>
      </c>
      <c r="L413" s="1202">
        <v>50000000</v>
      </c>
      <c r="M413" s="384"/>
      <c r="N413" s="1202">
        <v>0</v>
      </c>
      <c r="O413" s="591"/>
      <c r="P413" s="1202"/>
      <c r="Q413" s="1195"/>
      <c r="R413" s="1202"/>
      <c r="S413" s="591"/>
      <c r="T413" s="1202"/>
      <c r="U413" s="1229"/>
      <c r="V413" s="629"/>
      <c r="W413" s="1214"/>
      <c r="X413" s="629"/>
      <c r="Y413" s="1214">
        <f>Q413+S413+U413+W413</f>
        <v>0</v>
      </c>
      <c r="Z413" s="1227">
        <v>0</v>
      </c>
      <c r="AA413" s="1193">
        <v>0</v>
      </c>
      <c r="AB413" s="1215">
        <f>N413+Z413</f>
        <v>0</v>
      </c>
      <c r="AC413" s="1214">
        <f>AA413/K413*100%</f>
        <v>0</v>
      </c>
      <c r="AD413" s="1223">
        <f t="shared" si="147"/>
        <v>0</v>
      </c>
      <c r="AE413" s="384" t="s">
        <v>1765</v>
      </c>
    </row>
    <row r="414" spans="1:32" s="494" customFormat="1" ht="27.75" customHeight="1">
      <c r="A414" s="2398" t="s">
        <v>89</v>
      </c>
      <c r="B414" s="2398"/>
      <c r="C414" s="2398"/>
      <c r="D414" s="2398"/>
      <c r="E414" s="2398"/>
      <c r="F414" s="2398"/>
      <c r="G414" s="2398"/>
      <c r="H414" s="2398"/>
      <c r="I414" s="2398"/>
      <c r="J414" s="2398"/>
      <c r="K414" s="2398"/>
      <c r="L414" s="2398"/>
      <c r="M414" s="2398"/>
      <c r="N414" s="2398"/>
      <c r="O414" s="2398"/>
      <c r="P414" s="2398"/>
      <c r="Q414" s="2398"/>
      <c r="R414" s="2398"/>
      <c r="S414" s="2398"/>
      <c r="T414" s="2398"/>
      <c r="U414" s="2398"/>
      <c r="V414" s="2398"/>
      <c r="W414" s="2398"/>
      <c r="X414" s="2398"/>
      <c r="Y414" s="2398"/>
      <c r="Z414" s="2398"/>
      <c r="AA414" s="2398"/>
      <c r="AB414" s="2398"/>
      <c r="AC414" s="1195">
        <f>AVERAGE(AC411:AC413)</f>
        <v>0.37666666666666665</v>
      </c>
      <c r="AD414" s="1195">
        <f>AD405</f>
        <v>5.9466800000000002E-4</v>
      </c>
      <c r="AE414" s="384"/>
    </row>
    <row r="415" spans="1:32" s="494" customFormat="1">
      <c r="A415" s="2398" t="s">
        <v>1679</v>
      </c>
      <c r="B415" s="2398"/>
      <c r="C415" s="2398"/>
      <c r="D415" s="2398"/>
      <c r="E415" s="2398"/>
      <c r="F415" s="2398"/>
      <c r="G415" s="2398"/>
      <c r="H415" s="2398"/>
      <c r="I415" s="2398"/>
      <c r="J415" s="2398"/>
      <c r="K415" s="2398"/>
      <c r="L415" s="2398"/>
      <c r="M415" s="2398"/>
      <c r="N415" s="2398"/>
      <c r="O415" s="2398"/>
      <c r="P415" s="2398"/>
      <c r="Q415" s="2398"/>
      <c r="R415" s="2398"/>
      <c r="S415" s="2398"/>
      <c r="T415" s="2398"/>
      <c r="U415" s="2398"/>
      <c r="V415" s="2398"/>
      <c r="W415" s="2398"/>
      <c r="X415" s="2398"/>
      <c r="Y415" s="2398"/>
      <c r="Z415" s="2398"/>
      <c r="AA415" s="2398"/>
      <c r="AB415" s="2398"/>
      <c r="AC415" s="384"/>
      <c r="AD415" s="384"/>
      <c r="AE415" s="384"/>
    </row>
    <row r="416" spans="1:32" s="498" customFormat="1" ht="56.25" customHeight="1">
      <c r="A416" s="383">
        <v>19</v>
      </c>
      <c r="B416" s="383"/>
      <c r="C416" s="623" t="s">
        <v>146</v>
      </c>
      <c r="D416" s="623" t="s">
        <v>66</v>
      </c>
      <c r="E416" s="623" t="s">
        <v>196</v>
      </c>
      <c r="F416" s="1236" t="s">
        <v>66</v>
      </c>
      <c r="G416" s="1236">
        <v>15</v>
      </c>
      <c r="H416" s="1236"/>
      <c r="I416" s="1261" t="s">
        <v>1909</v>
      </c>
      <c r="J416" s="1261" t="s">
        <v>1910</v>
      </c>
      <c r="K416" s="1219">
        <v>1</v>
      </c>
      <c r="L416" s="629">
        <f>SUM(L417:L418)</f>
        <v>150000000</v>
      </c>
      <c r="M416" s="591">
        <v>1</v>
      </c>
      <c r="N416" s="1230">
        <f>SUM(N417:N418)</f>
        <v>139174840</v>
      </c>
      <c r="O416" s="591">
        <v>1</v>
      </c>
      <c r="P416" s="1202">
        <v>140921920</v>
      </c>
      <c r="Q416" s="1195">
        <v>0</v>
      </c>
      <c r="R416" s="1202">
        <v>0</v>
      </c>
      <c r="S416" s="1195"/>
      <c r="T416" s="1202"/>
      <c r="U416" s="1195"/>
      <c r="V416" s="1202"/>
      <c r="W416" s="1214"/>
      <c r="X416" s="1221"/>
      <c r="Y416" s="1214">
        <f t="shared" ref="Y416:Z419" si="148">Q416+S416+U416+W416</f>
        <v>0</v>
      </c>
      <c r="Z416" s="1215">
        <f t="shared" si="148"/>
        <v>0</v>
      </c>
      <c r="AA416" s="1281">
        <f>M416+Y416</f>
        <v>1</v>
      </c>
      <c r="AB416" s="1282">
        <f>N416+Z416</f>
        <v>139174840</v>
      </c>
      <c r="AC416" s="1214">
        <f>AA416/K416*100%</f>
        <v>1</v>
      </c>
      <c r="AD416" s="1223">
        <f t="shared" ref="AD416:AD419" si="149">AB416/L416*100%</f>
        <v>0.92783226666666663</v>
      </c>
      <c r="AE416" s="383"/>
    </row>
    <row r="417" spans="1:31" s="494" customFormat="1">
      <c r="A417" s="384"/>
      <c r="B417" s="384"/>
      <c r="C417" s="623" t="s">
        <v>146</v>
      </c>
      <c r="D417" s="623" t="s">
        <v>66</v>
      </c>
      <c r="E417" s="623" t="s">
        <v>196</v>
      </c>
      <c r="F417" s="1236" t="s">
        <v>66</v>
      </c>
      <c r="G417" s="1236">
        <v>15</v>
      </c>
      <c r="H417" s="1236">
        <v>14</v>
      </c>
      <c r="I417" s="1279" t="s">
        <v>1911</v>
      </c>
      <c r="J417" s="1279" t="s">
        <v>1912</v>
      </c>
      <c r="K417" s="1219">
        <v>1</v>
      </c>
      <c r="L417" s="1202">
        <v>50000000</v>
      </c>
      <c r="M417" s="591">
        <v>1</v>
      </c>
      <c r="N417" s="1207">
        <v>39999840</v>
      </c>
      <c r="O417" s="591">
        <v>1</v>
      </c>
      <c r="P417" s="1202">
        <v>16810000</v>
      </c>
      <c r="Q417" s="1195">
        <v>0</v>
      </c>
      <c r="R417" s="1202">
        <v>0</v>
      </c>
      <c r="S417" s="591"/>
      <c r="T417" s="1202"/>
      <c r="U417" s="1193"/>
      <c r="V417" s="629"/>
      <c r="W417" s="1229"/>
      <c r="X417" s="629"/>
      <c r="Y417" s="1214">
        <f t="shared" si="148"/>
        <v>0</v>
      </c>
      <c r="Z417" s="1211">
        <f t="shared" si="148"/>
        <v>0</v>
      </c>
      <c r="AA417" s="1212">
        <f t="shared" ref="AA417:AA419" si="150">M416+Y417</f>
        <v>1</v>
      </c>
      <c r="AB417" s="1282">
        <f t="shared" ref="AB417:AB419" si="151">N417+Z417</f>
        <v>39999840</v>
      </c>
      <c r="AC417" s="1214">
        <f>AA417/K417*100%</f>
        <v>1</v>
      </c>
      <c r="AD417" s="1223">
        <f t="shared" si="149"/>
        <v>0.79999679999999995</v>
      </c>
      <c r="AE417" s="384"/>
    </row>
    <row r="418" spans="1:31" s="494" customFormat="1">
      <c r="A418" s="384"/>
      <c r="B418" s="384"/>
      <c r="C418" s="623" t="s">
        <v>146</v>
      </c>
      <c r="D418" s="623" t="s">
        <v>66</v>
      </c>
      <c r="E418" s="623" t="s">
        <v>196</v>
      </c>
      <c r="F418" s="1236" t="s">
        <v>66</v>
      </c>
      <c r="G418" s="384">
        <v>15</v>
      </c>
      <c r="H418" s="384">
        <v>31</v>
      </c>
      <c r="I418" s="1264" t="s">
        <v>1913</v>
      </c>
      <c r="J418" s="1264" t="s">
        <v>1914</v>
      </c>
      <c r="K418" s="1219">
        <v>1</v>
      </c>
      <c r="L418" s="1202">
        <v>100000000</v>
      </c>
      <c r="M418" s="591">
        <v>1</v>
      </c>
      <c r="N418" s="1207">
        <v>99175000</v>
      </c>
      <c r="O418" s="591"/>
      <c r="P418" s="1202"/>
      <c r="Q418" s="1195"/>
      <c r="R418" s="1202"/>
      <c r="S418" s="1283"/>
      <c r="T418" s="1202"/>
      <c r="U418" s="1193"/>
      <c r="V418" s="629"/>
      <c r="W418" s="1193"/>
      <c r="X418" s="629"/>
      <c r="Y418" s="1214">
        <f t="shared" si="148"/>
        <v>0</v>
      </c>
      <c r="Z418" s="1211">
        <f t="shared" si="148"/>
        <v>0</v>
      </c>
      <c r="AA418" s="1212">
        <f t="shared" si="150"/>
        <v>1</v>
      </c>
      <c r="AB418" s="1282">
        <f t="shared" si="151"/>
        <v>99175000</v>
      </c>
      <c r="AC418" s="1214">
        <f>AA418/K418*100%</f>
        <v>1</v>
      </c>
      <c r="AD418" s="1223">
        <f t="shared" si="149"/>
        <v>0.99175000000000002</v>
      </c>
      <c r="AE418" s="384"/>
    </row>
    <row r="419" spans="1:31" s="494" customFormat="1" ht="25.5">
      <c r="A419" s="384"/>
      <c r="B419" s="384"/>
      <c r="C419" s="623" t="s">
        <v>146</v>
      </c>
      <c r="D419" s="623" t="s">
        <v>66</v>
      </c>
      <c r="E419" s="623" t="s">
        <v>196</v>
      </c>
      <c r="F419" s="1236" t="s">
        <v>66</v>
      </c>
      <c r="G419" s="1236">
        <v>15</v>
      </c>
      <c r="H419" s="1236">
        <v>37</v>
      </c>
      <c r="I419" s="1279" t="s">
        <v>1915</v>
      </c>
      <c r="J419" s="1279" t="s">
        <v>1916</v>
      </c>
      <c r="K419" s="1219">
        <v>1</v>
      </c>
      <c r="L419" s="1202">
        <v>50000000</v>
      </c>
      <c r="M419" s="591">
        <v>0</v>
      </c>
      <c r="N419" s="1207">
        <v>0</v>
      </c>
      <c r="O419" s="591">
        <v>1</v>
      </c>
      <c r="P419" s="1202">
        <v>50319157</v>
      </c>
      <c r="Q419" s="1195">
        <v>0</v>
      </c>
      <c r="R419" s="1202">
        <v>0</v>
      </c>
      <c r="S419" s="591"/>
      <c r="T419" s="1202"/>
      <c r="U419" s="1193"/>
      <c r="V419" s="629"/>
      <c r="W419" s="1229"/>
      <c r="X419" s="629"/>
      <c r="Y419" s="1214">
        <f t="shared" si="148"/>
        <v>0</v>
      </c>
      <c r="Z419" s="1211">
        <f t="shared" si="148"/>
        <v>0</v>
      </c>
      <c r="AA419" s="1212">
        <f t="shared" si="150"/>
        <v>1</v>
      </c>
      <c r="AB419" s="1282">
        <f t="shared" si="151"/>
        <v>0</v>
      </c>
      <c r="AC419" s="1214">
        <f>AA419/K419*100%</f>
        <v>1</v>
      </c>
      <c r="AD419" s="1223">
        <f t="shared" si="149"/>
        <v>0</v>
      </c>
      <c r="AE419" s="384"/>
    </row>
    <row r="420" spans="1:31" s="494" customFormat="1" ht="27.75" customHeight="1">
      <c r="A420" s="2398" t="s">
        <v>89</v>
      </c>
      <c r="B420" s="2398"/>
      <c r="C420" s="2398"/>
      <c r="D420" s="2398"/>
      <c r="E420" s="2398"/>
      <c r="F420" s="2398"/>
      <c r="G420" s="2398"/>
      <c r="H420" s="2398"/>
      <c r="I420" s="2398"/>
      <c r="J420" s="2398"/>
      <c r="K420" s="2398"/>
      <c r="L420" s="2398"/>
      <c r="M420" s="2398"/>
      <c r="N420" s="2398"/>
      <c r="O420" s="2398"/>
      <c r="P420" s="2398"/>
      <c r="Q420" s="2398"/>
      <c r="R420" s="2398"/>
      <c r="S420" s="2398"/>
      <c r="T420" s="2398"/>
      <c r="U420" s="2398"/>
      <c r="V420" s="2398"/>
      <c r="W420" s="2398"/>
      <c r="X420" s="2398"/>
      <c r="Y420" s="2398"/>
      <c r="Z420" s="2398"/>
      <c r="AA420" s="2398"/>
      <c r="AB420" s="2398"/>
      <c r="AC420" s="1195">
        <f>AVERAGE(AC417:AC419)</f>
        <v>1</v>
      </c>
      <c r="AD420" s="1195">
        <f>AD416</f>
        <v>0.92783226666666663</v>
      </c>
      <c r="AE420" s="384"/>
    </row>
    <row r="421" spans="1:31" s="494" customFormat="1">
      <c r="A421" s="2398" t="s">
        <v>1679</v>
      </c>
      <c r="B421" s="2398"/>
      <c r="C421" s="2398"/>
      <c r="D421" s="2398"/>
      <c r="E421" s="2398"/>
      <c r="F421" s="2398"/>
      <c r="G421" s="2398"/>
      <c r="H421" s="2398"/>
      <c r="I421" s="2398"/>
      <c r="J421" s="2398"/>
      <c r="K421" s="2398"/>
      <c r="L421" s="2398"/>
      <c r="M421" s="2398"/>
      <c r="N421" s="2398"/>
      <c r="O421" s="2398"/>
      <c r="P421" s="2398"/>
      <c r="Q421" s="2398"/>
      <c r="R421" s="2398"/>
      <c r="S421" s="2398"/>
      <c r="T421" s="2398"/>
      <c r="U421" s="2398"/>
      <c r="V421" s="2398"/>
      <c r="W421" s="2398"/>
      <c r="X421" s="2398"/>
      <c r="Y421" s="2398"/>
      <c r="Z421" s="2398"/>
      <c r="AA421" s="2398"/>
      <c r="AB421" s="2398"/>
      <c r="AC421" s="384"/>
      <c r="AD421" s="384"/>
      <c r="AE421" s="384"/>
    </row>
    <row r="422" spans="1:31" s="494" customFormat="1">
      <c r="A422" s="384"/>
      <c r="B422" s="384"/>
      <c r="C422" s="421"/>
      <c r="D422" s="421"/>
      <c r="E422" s="421"/>
      <c r="F422" s="421"/>
      <c r="G422" s="421"/>
      <c r="H422" s="384"/>
      <c r="I422" s="1284"/>
      <c r="J422" s="1284"/>
      <c r="K422" s="1219"/>
      <c r="L422" s="384"/>
      <c r="M422" s="384"/>
      <c r="N422" s="384"/>
      <c r="O422" s="591"/>
      <c r="P422" s="1202"/>
      <c r="Q422" s="1195"/>
      <c r="R422" s="1202"/>
      <c r="S422" s="1195"/>
      <c r="T422" s="1202"/>
      <c r="U422" s="1193"/>
      <c r="V422" s="629"/>
      <c r="W422" s="1193"/>
      <c r="X422" s="629"/>
      <c r="Y422" s="1193"/>
      <c r="Z422" s="1227"/>
      <c r="AA422" s="1193"/>
      <c r="AB422" s="1194"/>
      <c r="AC422" s="1214"/>
      <c r="AD422" s="384"/>
      <c r="AE422" s="384"/>
    </row>
    <row r="423" spans="1:31" s="494" customFormat="1" ht="81" customHeight="1">
      <c r="A423" s="384">
        <v>20</v>
      </c>
      <c r="B423" s="384"/>
      <c r="C423" s="623" t="s">
        <v>66</v>
      </c>
      <c r="D423" s="623" t="s">
        <v>196</v>
      </c>
      <c r="E423" s="623" t="s">
        <v>66</v>
      </c>
      <c r="F423" s="383">
        <v>36</v>
      </c>
      <c r="G423" s="383"/>
      <c r="H423" s="1236"/>
      <c r="I423" s="1261" t="s">
        <v>1917</v>
      </c>
      <c r="J423" s="1261" t="s">
        <v>1918</v>
      </c>
      <c r="K423" s="1219">
        <v>1</v>
      </c>
      <c r="L423" s="629">
        <f>L424</f>
        <v>100000000</v>
      </c>
      <c r="M423" s="1229">
        <f>M424</f>
        <v>1</v>
      </c>
      <c r="N423" s="629">
        <f>N424</f>
        <v>93473800</v>
      </c>
      <c r="O423" s="591"/>
      <c r="P423" s="1202"/>
      <c r="Q423" s="1195"/>
      <c r="R423" s="1202"/>
      <c r="S423" s="1195"/>
      <c r="T423" s="1202"/>
      <c r="U423" s="1195"/>
      <c r="V423" s="1202"/>
      <c r="W423" s="1193"/>
      <c r="X423" s="629"/>
      <c r="Y423" s="1214">
        <f>Q423+S423+U423+W423</f>
        <v>0</v>
      </c>
      <c r="Z423" s="1211">
        <f>R423+T423+V423+X423</f>
        <v>0</v>
      </c>
      <c r="AA423" s="1212">
        <f>M423+Y423</f>
        <v>1</v>
      </c>
      <c r="AB423" s="1211">
        <f>N423+Z423</f>
        <v>93473800</v>
      </c>
      <c r="AC423" s="1214">
        <f>AA423/K423*100%</f>
        <v>1</v>
      </c>
      <c r="AD423" s="1223">
        <f t="shared" ref="AD423:AD424" si="152">AB423/L423*100%</f>
        <v>0.93473799999999996</v>
      </c>
      <c r="AE423" s="383"/>
    </row>
    <row r="424" spans="1:31" s="494" customFormat="1">
      <c r="A424" s="384"/>
      <c r="B424" s="384"/>
      <c r="C424" s="623" t="s">
        <v>66</v>
      </c>
      <c r="D424" s="623" t="s">
        <v>196</v>
      </c>
      <c r="E424" s="623" t="s">
        <v>66</v>
      </c>
      <c r="F424" s="383">
        <v>36</v>
      </c>
      <c r="G424" s="421" t="s">
        <v>95</v>
      </c>
      <c r="H424" s="384"/>
      <c r="I424" s="1264" t="s">
        <v>1919</v>
      </c>
      <c r="J424" s="1263" t="s">
        <v>1920</v>
      </c>
      <c r="K424" s="1219">
        <v>1</v>
      </c>
      <c r="L424" s="1202">
        <v>100000000</v>
      </c>
      <c r="M424" s="591">
        <v>1</v>
      </c>
      <c r="N424" s="1202">
        <v>93473800</v>
      </c>
      <c r="O424" s="591"/>
      <c r="P424" s="1202"/>
      <c r="Q424" s="1195"/>
      <c r="R424" s="1202"/>
      <c r="S424" s="1195"/>
      <c r="T424" s="1202"/>
      <c r="U424" s="1193"/>
      <c r="V424" s="629"/>
      <c r="W424" s="1193"/>
      <c r="X424" s="629"/>
      <c r="Y424" s="1214">
        <f>Q424+S424+U424+W424</f>
        <v>0</v>
      </c>
      <c r="Z424" s="1211">
        <f>R424+T424+V424+X424</f>
        <v>0</v>
      </c>
      <c r="AA424" s="1193">
        <f>M423+Y424</f>
        <v>1</v>
      </c>
      <c r="AB424" s="1194">
        <f>N423+Z424</f>
        <v>93473800</v>
      </c>
      <c r="AC424" s="1214">
        <f>AA424/K424*100%</f>
        <v>1</v>
      </c>
      <c r="AD424" s="1223">
        <f t="shared" si="152"/>
        <v>0.93473799999999996</v>
      </c>
      <c r="AE424" s="384"/>
    </row>
    <row r="425" spans="1:31" s="494" customFormat="1" ht="27.75" customHeight="1">
      <c r="A425" s="2398" t="s">
        <v>89</v>
      </c>
      <c r="B425" s="2398"/>
      <c r="C425" s="2398"/>
      <c r="D425" s="2398"/>
      <c r="E425" s="2398"/>
      <c r="F425" s="2398"/>
      <c r="G425" s="2398"/>
      <c r="H425" s="2398"/>
      <c r="I425" s="2398"/>
      <c r="J425" s="2398"/>
      <c r="K425" s="2398"/>
      <c r="L425" s="2398"/>
      <c r="M425" s="2398"/>
      <c r="N425" s="2398"/>
      <c r="O425" s="2398"/>
      <c r="P425" s="2398"/>
      <c r="Q425" s="2398"/>
      <c r="R425" s="2398"/>
      <c r="S425" s="2398"/>
      <c r="T425" s="2398"/>
      <c r="U425" s="2398"/>
      <c r="V425" s="2398"/>
      <c r="W425" s="2398"/>
      <c r="X425" s="2398"/>
      <c r="Y425" s="2398"/>
      <c r="Z425" s="2398"/>
      <c r="AA425" s="2398"/>
      <c r="AB425" s="2398"/>
      <c r="AC425" s="1195">
        <f>AVERAGE(AC424)</f>
        <v>1</v>
      </c>
      <c r="AD425" s="1195" t="e">
        <f>#REF!</f>
        <v>#REF!</v>
      </c>
      <c r="AE425" s="384"/>
    </row>
    <row r="426" spans="1:31" s="494" customFormat="1">
      <c r="A426" s="2398" t="s">
        <v>1679</v>
      </c>
      <c r="B426" s="2398"/>
      <c r="C426" s="2398"/>
      <c r="D426" s="2398"/>
      <c r="E426" s="2398"/>
      <c r="F426" s="2398"/>
      <c r="G426" s="2398"/>
      <c r="H426" s="2398"/>
      <c r="I426" s="2398"/>
      <c r="J426" s="2398"/>
      <c r="K426" s="2398"/>
      <c r="L426" s="2398"/>
      <c r="M426" s="2398"/>
      <c r="N426" s="2398"/>
      <c r="O426" s="2398"/>
      <c r="P426" s="2398"/>
      <c r="Q426" s="2398"/>
      <c r="R426" s="2398"/>
      <c r="S426" s="2398"/>
      <c r="T426" s="2398"/>
      <c r="U426" s="2398"/>
      <c r="V426" s="2398"/>
      <c r="W426" s="2398"/>
      <c r="X426" s="2398"/>
      <c r="Y426" s="2398"/>
      <c r="Z426" s="2398"/>
      <c r="AA426" s="2398"/>
      <c r="AB426" s="2398"/>
      <c r="AC426" s="384"/>
      <c r="AD426" s="384"/>
      <c r="AE426" s="384"/>
    </row>
    <row r="427" spans="1:31" s="494" customFormat="1">
      <c r="A427" s="384"/>
      <c r="B427" s="384"/>
      <c r="C427" s="421"/>
      <c r="D427" s="421"/>
      <c r="E427" s="421"/>
      <c r="F427" s="421"/>
      <c r="G427" s="421"/>
      <c r="H427" s="384"/>
      <c r="I427" s="1264"/>
      <c r="J427" s="1263"/>
      <c r="K427" s="1219"/>
      <c r="L427" s="384"/>
      <c r="M427" s="384"/>
      <c r="N427" s="384"/>
      <c r="O427" s="591"/>
      <c r="P427" s="1202"/>
      <c r="Q427" s="1195"/>
      <c r="R427" s="1202"/>
      <c r="S427" s="1195"/>
      <c r="T427" s="1202"/>
      <c r="U427" s="1193"/>
      <c r="V427" s="629"/>
      <c r="W427" s="1193"/>
      <c r="X427" s="629"/>
      <c r="Y427" s="1214"/>
      <c r="Z427" s="1211"/>
      <c r="AA427" s="1193"/>
      <c r="AB427" s="1194"/>
      <c r="AC427" s="1214"/>
      <c r="AD427" s="384"/>
      <c r="AE427" s="384"/>
    </row>
    <row r="428" spans="1:31" s="498" customFormat="1" ht="57.75" customHeight="1">
      <c r="A428" s="383">
        <v>21</v>
      </c>
      <c r="B428" s="383" t="s">
        <v>1795</v>
      </c>
      <c r="C428" s="623" t="s">
        <v>66</v>
      </c>
      <c r="D428" s="623" t="s">
        <v>196</v>
      </c>
      <c r="E428" s="623" t="s">
        <v>66</v>
      </c>
      <c r="F428" s="383">
        <v>15</v>
      </c>
      <c r="G428" s="383"/>
      <c r="H428" s="1237"/>
      <c r="I428" s="1237" t="s">
        <v>1040</v>
      </c>
      <c r="J428" s="1265" t="s">
        <v>1921</v>
      </c>
      <c r="K428" s="1219">
        <v>1</v>
      </c>
      <c r="L428" s="693">
        <f>SUM(L429:L432)</f>
        <v>5297069717</v>
      </c>
      <c r="M428" s="1250">
        <v>1</v>
      </c>
      <c r="N428" s="1210">
        <f>SUM(N429:N432)</f>
        <v>4344766570</v>
      </c>
      <c r="O428" s="1250">
        <v>1</v>
      </c>
      <c r="P428" s="1210">
        <f>SUM(P429:P432)</f>
        <v>4252302661.75</v>
      </c>
      <c r="Q428" s="1212">
        <v>0.2</v>
      </c>
      <c r="R428" s="1210">
        <f>SUM(R429:R431)</f>
        <v>1070524880</v>
      </c>
      <c r="S428" s="1212"/>
      <c r="T428" s="1210"/>
      <c r="U428" s="1212"/>
      <c r="V428" s="1210"/>
      <c r="W428" s="1212"/>
      <c r="X428" s="1210"/>
      <c r="Y428" s="1214">
        <f t="shared" ref="Y428:Z431" si="153">Q428+S428+U428+W428</f>
        <v>0.2</v>
      </c>
      <c r="Z428" s="1211">
        <f t="shared" si="153"/>
        <v>1070524880</v>
      </c>
      <c r="AA428" s="1212">
        <f t="shared" ref="AA428:AB432" si="154">M428+Y428</f>
        <v>1.2</v>
      </c>
      <c r="AB428" s="1211">
        <f t="shared" si="154"/>
        <v>5415291450</v>
      </c>
      <c r="AC428" s="1214">
        <f>AA428/K428*100%</f>
        <v>1.2</v>
      </c>
      <c r="AD428" s="1223">
        <f t="shared" ref="AD428:AD432" si="155">AB428/L428*100%</f>
        <v>1.022318326795018</v>
      </c>
      <c r="AE428" s="657" t="s">
        <v>1042</v>
      </c>
    </row>
    <row r="429" spans="1:31" s="498" customFormat="1" ht="33.75" customHeight="1">
      <c r="A429" s="383"/>
      <c r="B429" s="383"/>
      <c r="C429" s="623" t="s">
        <v>66</v>
      </c>
      <c r="D429" s="623" t="s">
        <v>196</v>
      </c>
      <c r="E429" s="623" t="s">
        <v>66</v>
      </c>
      <c r="F429" s="383">
        <v>15</v>
      </c>
      <c r="G429" s="383">
        <v>35</v>
      </c>
      <c r="H429" s="1237"/>
      <c r="I429" s="1200" t="s">
        <v>1922</v>
      </c>
      <c r="J429" s="1200" t="s">
        <v>1923</v>
      </c>
      <c r="K429" s="1219">
        <v>1</v>
      </c>
      <c r="L429" s="1246">
        <v>758135097</v>
      </c>
      <c r="M429" s="1285">
        <v>1</v>
      </c>
      <c r="N429" s="1221">
        <v>490204900</v>
      </c>
      <c r="O429" s="1285">
        <v>1</v>
      </c>
      <c r="P429" s="681">
        <v>647923854</v>
      </c>
      <c r="Q429" s="1195">
        <v>0.15</v>
      </c>
      <c r="R429" s="590">
        <v>83630550</v>
      </c>
      <c r="S429" s="1195"/>
      <c r="T429" s="1202"/>
      <c r="U429" s="1195"/>
      <c r="V429" s="1202"/>
      <c r="W429" s="1195"/>
      <c r="X429" s="1202"/>
      <c r="Y429" s="1214">
        <f t="shared" si="153"/>
        <v>0.15</v>
      </c>
      <c r="Z429" s="1211">
        <f t="shared" si="153"/>
        <v>83630550</v>
      </c>
      <c r="AA429" s="1193">
        <f t="shared" si="154"/>
        <v>1.1499999999999999</v>
      </c>
      <c r="AB429" s="1194">
        <f t="shared" si="154"/>
        <v>573835450</v>
      </c>
      <c r="AC429" s="1214">
        <f t="shared" ref="AC429:AC432" si="156">AA429/K429*100%</f>
        <v>1.1499999999999999</v>
      </c>
      <c r="AD429" s="1223">
        <f t="shared" si="155"/>
        <v>0.75690395058969284</v>
      </c>
      <c r="AE429" s="657"/>
    </row>
    <row r="430" spans="1:31" s="498" customFormat="1" ht="33.75" customHeight="1">
      <c r="A430" s="383"/>
      <c r="B430" s="383"/>
      <c r="C430" s="623" t="s">
        <v>66</v>
      </c>
      <c r="D430" s="623" t="s">
        <v>196</v>
      </c>
      <c r="E430" s="623" t="s">
        <v>66</v>
      </c>
      <c r="F430" s="383">
        <v>15</v>
      </c>
      <c r="G430" s="383">
        <v>36</v>
      </c>
      <c r="H430" s="1237"/>
      <c r="I430" s="1200" t="s">
        <v>1924</v>
      </c>
      <c r="J430" s="1200" t="s">
        <v>1925</v>
      </c>
      <c r="K430" s="1219">
        <v>1</v>
      </c>
      <c r="L430" s="1246">
        <v>3188934620</v>
      </c>
      <c r="M430" s="1285">
        <v>1</v>
      </c>
      <c r="N430" s="1221">
        <v>2541615820</v>
      </c>
      <c r="O430" s="1285">
        <v>1</v>
      </c>
      <c r="P430" s="1221">
        <v>2576752907.75</v>
      </c>
      <c r="Q430" s="1195">
        <v>0.3</v>
      </c>
      <c r="R430" s="1202">
        <v>802181280</v>
      </c>
      <c r="S430" s="591"/>
      <c r="T430" s="1202"/>
      <c r="U430" s="1195"/>
      <c r="V430" s="1202"/>
      <c r="W430" s="1195"/>
      <c r="X430" s="1202"/>
      <c r="Y430" s="1214">
        <f t="shared" si="153"/>
        <v>0.3</v>
      </c>
      <c r="Z430" s="1211">
        <f t="shared" si="153"/>
        <v>802181280</v>
      </c>
      <c r="AA430" s="1193">
        <f t="shared" si="154"/>
        <v>1.3</v>
      </c>
      <c r="AB430" s="1194">
        <f t="shared" si="154"/>
        <v>3343797100</v>
      </c>
      <c r="AC430" s="1214">
        <f t="shared" si="156"/>
        <v>1.3</v>
      </c>
      <c r="AD430" s="1223">
        <f t="shared" si="155"/>
        <v>1.0485624506155602</v>
      </c>
      <c r="AE430" s="657"/>
    </row>
    <row r="431" spans="1:31" s="498" customFormat="1" ht="36" customHeight="1">
      <c r="A431" s="383"/>
      <c r="B431" s="383"/>
      <c r="C431" s="623" t="s">
        <v>66</v>
      </c>
      <c r="D431" s="623" t="s">
        <v>196</v>
      </c>
      <c r="E431" s="623" t="s">
        <v>66</v>
      </c>
      <c r="F431" s="383">
        <v>15</v>
      </c>
      <c r="G431" s="383">
        <v>37</v>
      </c>
      <c r="H431" s="1237"/>
      <c r="I431" s="1200" t="s">
        <v>1926</v>
      </c>
      <c r="J431" s="1200" t="s">
        <v>1927</v>
      </c>
      <c r="K431" s="1219">
        <v>1</v>
      </c>
      <c r="L431" s="1246">
        <v>1200000000</v>
      </c>
      <c r="M431" s="1285">
        <v>1</v>
      </c>
      <c r="N431" s="1221">
        <v>1085133050</v>
      </c>
      <c r="O431" s="1285">
        <v>1</v>
      </c>
      <c r="P431" s="1221">
        <v>1027625900</v>
      </c>
      <c r="Q431" s="1195">
        <v>0.18</v>
      </c>
      <c r="R431" s="1202">
        <v>184713050</v>
      </c>
      <c r="S431" s="1195"/>
      <c r="T431" s="1202"/>
      <c r="U431" s="1195"/>
      <c r="V431" s="1202"/>
      <c r="W431" s="1195"/>
      <c r="X431" s="1202"/>
      <c r="Y431" s="1214">
        <f t="shared" si="153"/>
        <v>0.18</v>
      </c>
      <c r="Z431" s="1211">
        <f t="shared" si="153"/>
        <v>184713050</v>
      </c>
      <c r="AA431" s="1193">
        <f t="shared" si="154"/>
        <v>1.18</v>
      </c>
      <c r="AB431" s="1194">
        <f t="shared" si="154"/>
        <v>1269846100</v>
      </c>
      <c r="AC431" s="1214">
        <f t="shared" si="156"/>
        <v>1.18</v>
      </c>
      <c r="AD431" s="1223">
        <f t="shared" si="155"/>
        <v>1.0582050833333334</v>
      </c>
      <c r="AE431" s="657"/>
    </row>
    <row r="432" spans="1:31" s="494" customFormat="1" ht="25.5">
      <c r="A432" s="384"/>
      <c r="B432" s="384"/>
      <c r="C432" s="623" t="s">
        <v>66</v>
      </c>
      <c r="D432" s="623" t="s">
        <v>196</v>
      </c>
      <c r="E432" s="623" t="s">
        <v>66</v>
      </c>
      <c r="F432" s="383">
        <v>15</v>
      </c>
      <c r="G432" s="383">
        <v>38</v>
      </c>
      <c r="H432" s="1236"/>
      <c r="I432" s="1200" t="s">
        <v>1928</v>
      </c>
      <c r="J432" s="384" t="s">
        <v>1929</v>
      </c>
      <c r="K432" s="1219">
        <v>1</v>
      </c>
      <c r="L432" s="1202">
        <v>150000000</v>
      </c>
      <c r="M432" s="1285">
        <v>1</v>
      </c>
      <c r="N432" s="1202">
        <v>227812800</v>
      </c>
      <c r="O432" s="1259"/>
      <c r="P432" s="629"/>
      <c r="Q432" s="384"/>
      <c r="R432" s="629"/>
      <c r="S432" s="1193"/>
      <c r="T432" s="629"/>
      <c r="U432" s="1193"/>
      <c r="V432" s="629"/>
      <c r="W432" s="1193"/>
      <c r="X432" s="1202"/>
      <c r="Y432" s="1195">
        <f>W432</f>
        <v>0</v>
      </c>
      <c r="Z432" s="1194">
        <f>X432</f>
        <v>0</v>
      </c>
      <c r="AA432" s="1193">
        <f t="shared" si="154"/>
        <v>1</v>
      </c>
      <c r="AB432" s="1194">
        <f t="shared" si="154"/>
        <v>227812800</v>
      </c>
      <c r="AC432" s="1214">
        <f t="shared" si="156"/>
        <v>1</v>
      </c>
      <c r="AD432" s="1223">
        <f t="shared" si="155"/>
        <v>1.5187520000000001</v>
      </c>
      <c r="AE432" s="384"/>
    </row>
    <row r="433" spans="1:31" s="494" customFormat="1" ht="27.75" customHeight="1">
      <c r="A433" s="2398" t="s">
        <v>89</v>
      </c>
      <c r="B433" s="2398"/>
      <c r="C433" s="2398"/>
      <c r="D433" s="2398"/>
      <c r="E433" s="2398"/>
      <c r="F433" s="2398"/>
      <c r="G433" s="2398"/>
      <c r="H433" s="2398"/>
      <c r="I433" s="2398"/>
      <c r="J433" s="2398"/>
      <c r="K433" s="2398"/>
      <c r="L433" s="2398"/>
      <c r="M433" s="2398"/>
      <c r="N433" s="2398"/>
      <c r="O433" s="2398"/>
      <c r="P433" s="2398"/>
      <c r="Q433" s="2398"/>
      <c r="R433" s="2398"/>
      <c r="S433" s="2398"/>
      <c r="T433" s="2398"/>
      <c r="U433" s="2398"/>
      <c r="V433" s="2398"/>
      <c r="W433" s="2398"/>
      <c r="X433" s="2398"/>
      <c r="Y433" s="2398"/>
      <c r="Z433" s="2398"/>
      <c r="AA433" s="2398"/>
      <c r="AB433" s="2398"/>
      <c r="AC433" s="1195">
        <f>AVERAGE(AC430:AC432)</f>
        <v>1.1599999999999999</v>
      </c>
      <c r="AD433" s="1195">
        <f>AD423</f>
        <v>0.93473799999999996</v>
      </c>
      <c r="AE433" s="384"/>
    </row>
    <row r="434" spans="1:31" s="494" customFormat="1">
      <c r="A434" s="2398" t="s">
        <v>1679</v>
      </c>
      <c r="B434" s="2398"/>
      <c r="C434" s="2398"/>
      <c r="D434" s="2398"/>
      <c r="E434" s="2398"/>
      <c r="F434" s="2398"/>
      <c r="G434" s="2398"/>
      <c r="H434" s="2398"/>
      <c r="I434" s="2398"/>
      <c r="J434" s="2398"/>
      <c r="K434" s="2398"/>
      <c r="L434" s="2398"/>
      <c r="M434" s="2398"/>
      <c r="N434" s="2398"/>
      <c r="O434" s="2398"/>
      <c r="P434" s="2398"/>
      <c r="Q434" s="2398"/>
      <c r="R434" s="2398"/>
      <c r="S434" s="2398"/>
      <c r="T434" s="2398"/>
      <c r="U434" s="2398"/>
      <c r="V434" s="2398"/>
      <c r="W434" s="2398"/>
      <c r="X434" s="2398"/>
      <c r="Y434" s="2398"/>
      <c r="Z434" s="2398"/>
      <c r="AA434" s="2398"/>
      <c r="AB434" s="2398"/>
      <c r="AC434" s="384"/>
      <c r="AD434" s="384"/>
      <c r="AE434" s="384"/>
    </row>
    <row r="435" spans="1:31" s="494" customFormat="1">
      <c r="A435" s="1286"/>
      <c r="B435" s="1286"/>
      <c r="C435" s="1286"/>
      <c r="D435" s="1286"/>
      <c r="E435" s="1286"/>
      <c r="F435" s="1286"/>
      <c r="G435" s="1286"/>
      <c r="H435" s="1286"/>
      <c r="I435" s="1287"/>
      <c r="J435" s="1286"/>
      <c r="K435" s="1286"/>
      <c r="L435" s="1286"/>
      <c r="M435" s="1286"/>
      <c r="N435" s="1286"/>
      <c r="O435" s="1288"/>
      <c r="P435" s="1289"/>
      <c r="Q435" s="1286"/>
      <c r="R435" s="1286"/>
      <c r="S435" s="1286"/>
      <c r="T435" s="1286"/>
      <c r="U435" s="1286"/>
      <c r="V435" s="1286"/>
      <c r="W435" s="1290"/>
      <c r="X435" s="1289"/>
      <c r="Y435" s="1291"/>
      <c r="Z435" s="1292"/>
      <c r="AA435" s="1290"/>
      <c r="AB435" s="1292"/>
      <c r="AC435" s="1286"/>
      <c r="AD435" s="1286"/>
      <c r="AE435" s="1286"/>
    </row>
    <row r="436" spans="1:31" s="494" customFormat="1" ht="13.5" thickBot="1">
      <c r="A436" s="2416"/>
      <c r="B436" s="2416"/>
      <c r="C436" s="2416"/>
      <c r="D436" s="2416"/>
      <c r="E436" s="2416"/>
      <c r="F436" s="2416"/>
      <c r="G436" s="2416"/>
      <c r="H436" s="2416"/>
      <c r="I436" s="2416"/>
      <c r="J436" s="2416"/>
      <c r="K436" s="2416"/>
      <c r="L436" s="2416"/>
      <c r="M436" s="2416"/>
      <c r="N436" s="2416"/>
      <c r="O436" s="2416"/>
      <c r="P436" s="2416"/>
      <c r="Q436" s="2416"/>
      <c r="R436" s="2416"/>
      <c r="S436" s="2416"/>
      <c r="T436" s="2416"/>
      <c r="U436" s="2416"/>
      <c r="V436" s="2416"/>
      <c r="W436" s="2416"/>
      <c r="X436" s="2416"/>
      <c r="Y436" s="2416"/>
      <c r="Z436" s="2417"/>
      <c r="AA436" s="493"/>
      <c r="AB436" s="493"/>
      <c r="AC436" s="385"/>
    </row>
    <row r="437" spans="1:31" s="494" customFormat="1" ht="18.75" customHeight="1" thickBot="1">
      <c r="A437" s="2413" t="s">
        <v>1230</v>
      </c>
      <c r="B437" s="2414"/>
      <c r="C437" s="1293"/>
      <c r="D437" s="1293"/>
      <c r="E437" s="1293"/>
      <c r="F437" s="1293"/>
      <c r="G437" s="1293"/>
      <c r="H437" s="1293"/>
      <c r="I437" s="1293"/>
      <c r="J437" s="1293"/>
      <c r="K437" s="1293"/>
      <c r="L437" s="1293"/>
      <c r="M437" s="1293"/>
      <c r="N437" s="1293"/>
      <c r="O437" s="1293"/>
      <c r="P437" s="1293"/>
      <c r="Q437" s="1294"/>
      <c r="R437" s="1294"/>
      <c r="S437" s="1294"/>
      <c r="T437" s="1294"/>
      <c r="U437" s="1294"/>
      <c r="V437" s="1294"/>
      <c r="W437" s="1294"/>
      <c r="X437" s="1294"/>
      <c r="Y437" s="1294"/>
      <c r="Z437" s="1294"/>
      <c r="AA437" s="1294"/>
      <c r="AB437" s="1294"/>
      <c r="AC437" s="1294"/>
      <c r="AD437" s="1294"/>
      <c r="AE437" s="1294"/>
    </row>
    <row r="438" spans="1:31" s="494" customFormat="1" ht="18.75" customHeight="1" thickBot="1">
      <c r="A438" s="2418" t="s">
        <v>1930</v>
      </c>
      <c r="B438" s="2419"/>
      <c r="C438" s="1293"/>
      <c r="D438" s="1293"/>
      <c r="E438" s="1293"/>
      <c r="F438" s="1293"/>
      <c r="G438" s="1293"/>
      <c r="H438" s="1293"/>
      <c r="I438" s="1293"/>
      <c r="J438" s="1293"/>
      <c r="K438" s="1293"/>
      <c r="L438" s="1293"/>
      <c r="M438" s="1293"/>
      <c r="N438" s="1293"/>
      <c r="O438" s="1293"/>
      <c r="P438" s="1293"/>
      <c r="Q438" s="1293"/>
      <c r="R438" s="1293"/>
      <c r="S438" s="1293"/>
      <c r="T438" s="1293"/>
      <c r="U438" s="1293"/>
      <c r="V438" s="1293"/>
      <c r="W438" s="1293"/>
      <c r="X438" s="1293"/>
      <c r="Y438" s="1293"/>
      <c r="Z438" s="1293"/>
      <c r="AA438" s="1293"/>
      <c r="AB438" s="1293"/>
      <c r="AC438" s="1293"/>
      <c r="AD438" s="1293"/>
      <c r="AE438" s="1293"/>
    </row>
    <row r="439" spans="1:31" s="494" customFormat="1" ht="34.5" customHeight="1" thickBot="1">
      <c r="A439" s="2418" t="s">
        <v>1931</v>
      </c>
      <c r="B439" s="2419"/>
      <c r="C439" s="1293"/>
      <c r="D439" s="1293"/>
      <c r="E439" s="1293"/>
      <c r="F439" s="1293"/>
      <c r="G439" s="1293"/>
      <c r="H439" s="1293"/>
      <c r="I439" s="2413" t="s">
        <v>1932</v>
      </c>
      <c r="J439" s="2420"/>
      <c r="K439" s="1295"/>
      <c r="L439" s="1295"/>
      <c r="M439" s="1295"/>
      <c r="N439" s="1295"/>
      <c r="O439" s="1295"/>
      <c r="P439" s="1295"/>
      <c r="Q439" s="1295"/>
      <c r="R439" s="1295"/>
      <c r="S439" s="1295"/>
      <c r="T439" s="1295"/>
      <c r="U439" s="1295"/>
      <c r="V439" s="1295"/>
      <c r="W439" s="1295"/>
      <c r="X439" s="1295"/>
      <c r="Y439" s="1295"/>
      <c r="Z439" s="1295"/>
      <c r="AA439" s="1295"/>
      <c r="AB439" s="1295"/>
      <c r="AC439" s="1295"/>
      <c r="AD439" s="1295"/>
      <c r="AE439" s="1296"/>
    </row>
    <row r="440" spans="1:31" s="494" customFormat="1" ht="55.5" customHeight="1" thickBot="1">
      <c r="A440" s="2413" t="s">
        <v>1933</v>
      </c>
      <c r="B440" s="2414"/>
      <c r="C440" s="1293"/>
      <c r="D440" s="1293"/>
      <c r="E440" s="1293"/>
      <c r="F440" s="1293"/>
      <c r="G440" s="1293"/>
      <c r="H440" s="1293"/>
      <c r="I440" s="1293"/>
      <c r="J440" s="1293"/>
      <c r="K440" s="1293"/>
      <c r="L440" s="1293"/>
      <c r="M440" s="1293"/>
      <c r="N440" s="1293"/>
      <c r="O440" s="1293"/>
      <c r="P440" s="1293"/>
      <c r="Q440" s="1293"/>
      <c r="R440" s="1293"/>
      <c r="S440" s="1293"/>
      <c r="T440" s="1293"/>
      <c r="U440" s="1293"/>
      <c r="V440" s="1293"/>
      <c r="W440" s="1293"/>
      <c r="X440" s="1293"/>
      <c r="Y440" s="1293"/>
      <c r="Z440" s="1293"/>
      <c r="AA440" s="1293"/>
      <c r="AB440" s="1293"/>
      <c r="AC440" s="1293"/>
      <c r="AD440" s="1293"/>
      <c r="AE440" s="1293"/>
    </row>
    <row r="441" spans="1:31" s="494" customFormat="1" ht="39" customHeight="1" thickBot="1">
      <c r="A441" s="2413" t="s">
        <v>1934</v>
      </c>
      <c r="B441" s="2414"/>
      <c r="C441" s="1293"/>
      <c r="D441" s="1293"/>
      <c r="E441" s="1293"/>
      <c r="F441" s="1293"/>
      <c r="G441" s="1293"/>
      <c r="H441" s="1293"/>
      <c r="I441" s="1293"/>
      <c r="J441" s="1293"/>
      <c r="K441" s="1293"/>
      <c r="L441" s="1293"/>
      <c r="M441" s="1293"/>
      <c r="N441" s="1293"/>
      <c r="O441" s="1293"/>
      <c r="P441" s="1293"/>
      <c r="Q441" s="1293"/>
      <c r="R441" s="1293"/>
      <c r="S441" s="1293"/>
      <c r="T441" s="1293"/>
      <c r="U441" s="1293"/>
      <c r="V441" s="1293"/>
      <c r="W441" s="1293"/>
      <c r="X441" s="1293"/>
      <c r="Y441" s="1293"/>
      <c r="Z441" s="1293"/>
      <c r="AA441" s="1293"/>
      <c r="AB441" s="1293"/>
      <c r="AC441" s="1293"/>
      <c r="AD441" s="1293"/>
      <c r="AE441" s="1293"/>
    </row>
    <row r="442" spans="1:31" ht="22.5" customHeight="1">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382"/>
      <c r="Z442" s="56"/>
      <c r="AA442" s="56"/>
      <c r="AB442" s="56"/>
      <c r="AC442" s="56"/>
      <c r="AD442" s="56"/>
      <c r="AE442" s="56"/>
    </row>
    <row r="443" spans="1:31" s="69" customFormat="1" ht="38.25" customHeight="1">
      <c r="A443" s="731">
        <v>4</v>
      </c>
      <c r="B443" s="67"/>
      <c r="C443" s="67"/>
      <c r="D443" s="67"/>
      <c r="E443" s="67"/>
      <c r="F443" s="67"/>
      <c r="G443" s="67"/>
      <c r="H443" s="67"/>
      <c r="I443" s="68" t="s">
        <v>130</v>
      </c>
      <c r="J443" s="67"/>
      <c r="K443" s="67"/>
      <c r="L443" s="67"/>
      <c r="M443" s="67"/>
      <c r="N443" s="67"/>
      <c r="O443" s="67"/>
      <c r="P443" s="67"/>
      <c r="Q443" s="67"/>
      <c r="R443" s="67"/>
      <c r="S443" s="67"/>
      <c r="T443" s="67"/>
      <c r="U443" s="67"/>
      <c r="V443" s="67"/>
      <c r="W443" s="67"/>
      <c r="X443" s="67"/>
      <c r="Y443" s="366"/>
      <c r="Z443" s="67"/>
      <c r="AA443" s="67"/>
      <c r="AB443" s="67"/>
      <c r="AC443" s="67"/>
      <c r="AD443" s="67"/>
      <c r="AE443" s="67"/>
    </row>
    <row r="444" spans="1:31" ht="22.5" customHeight="1">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382"/>
      <c r="Z444" s="56"/>
      <c r="AA444" s="56"/>
      <c r="AB444" s="56"/>
      <c r="AC444" s="56"/>
      <c r="AD444" s="56"/>
      <c r="AE444" s="56"/>
    </row>
    <row r="445" spans="1:31" s="69" customFormat="1" ht="64.5" customHeight="1">
      <c r="A445" s="731">
        <v>5</v>
      </c>
      <c r="B445" s="67"/>
      <c r="C445" s="67"/>
      <c r="D445" s="67"/>
      <c r="E445" s="67"/>
      <c r="F445" s="67"/>
      <c r="G445" s="67"/>
      <c r="H445" s="67"/>
      <c r="I445" s="68" t="s">
        <v>132</v>
      </c>
      <c r="J445" s="67"/>
      <c r="K445" s="67"/>
      <c r="L445" s="67"/>
      <c r="M445" s="67"/>
      <c r="N445" s="67"/>
      <c r="O445" s="67"/>
      <c r="P445" s="67"/>
      <c r="Q445" s="67"/>
      <c r="R445" s="67"/>
      <c r="S445" s="67"/>
      <c r="T445" s="67"/>
      <c r="U445" s="67"/>
      <c r="V445" s="67"/>
      <c r="W445" s="67"/>
      <c r="X445" s="67"/>
      <c r="Y445" s="366"/>
      <c r="Z445" s="67"/>
      <c r="AA445" s="67"/>
      <c r="AB445" s="67"/>
      <c r="AC445" s="67"/>
      <c r="AD445" s="67"/>
      <c r="AE445" s="67"/>
    </row>
    <row r="446" spans="1:31" ht="22.5" customHeight="1">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382"/>
      <c r="Z446" s="56"/>
      <c r="AA446" s="56"/>
      <c r="AB446" s="56"/>
      <c r="AC446" s="56"/>
      <c r="AD446" s="56"/>
      <c r="AE446" s="56"/>
    </row>
    <row r="447" spans="1:31" s="69" customFormat="1" ht="23.25" customHeight="1">
      <c r="A447" s="67">
        <v>6</v>
      </c>
      <c r="B447" s="67"/>
      <c r="C447" s="67"/>
      <c r="D447" s="67"/>
      <c r="E447" s="67"/>
      <c r="F447" s="67"/>
      <c r="G447" s="67"/>
      <c r="H447" s="67"/>
      <c r="I447" s="68" t="s">
        <v>131</v>
      </c>
      <c r="J447" s="67"/>
      <c r="K447" s="67"/>
      <c r="L447" s="67"/>
      <c r="M447" s="67"/>
      <c r="N447" s="67"/>
      <c r="O447" s="67"/>
      <c r="P447" s="67"/>
      <c r="Q447" s="67"/>
      <c r="R447" s="67"/>
      <c r="S447" s="67"/>
      <c r="T447" s="67"/>
      <c r="U447" s="67"/>
      <c r="V447" s="67"/>
      <c r="W447" s="67"/>
      <c r="X447" s="67"/>
      <c r="Y447" s="366"/>
      <c r="Z447" s="67"/>
      <c r="AA447" s="67"/>
      <c r="AB447" s="67"/>
      <c r="AC447" s="67"/>
      <c r="AD447" s="67"/>
      <c r="AE447" s="67"/>
    </row>
    <row r="448" spans="1:31" ht="22.5" customHeight="1">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382"/>
      <c r="Z448" s="56"/>
      <c r="AA448" s="56"/>
      <c r="AB448" s="56"/>
      <c r="AC448" s="56"/>
      <c r="AD448" s="56"/>
      <c r="AE448" s="56"/>
    </row>
    <row r="449" spans="1:33" s="69" customFormat="1" ht="56.25" customHeight="1">
      <c r="A449" s="72"/>
      <c r="B449" s="72"/>
      <c r="C449" s="72"/>
      <c r="D449" s="72"/>
      <c r="E449" s="72"/>
      <c r="F449" s="72"/>
      <c r="G449" s="72"/>
      <c r="H449" s="72"/>
      <c r="I449" s="73" t="s">
        <v>134</v>
      </c>
      <c r="J449" s="72"/>
      <c r="K449" s="72"/>
      <c r="L449" s="72"/>
      <c r="M449" s="72"/>
      <c r="N449" s="72"/>
      <c r="O449" s="72"/>
      <c r="P449" s="72"/>
      <c r="Q449" s="72"/>
      <c r="R449" s="72"/>
      <c r="S449" s="72"/>
      <c r="T449" s="72"/>
      <c r="U449" s="72"/>
      <c r="V449" s="72"/>
      <c r="W449" s="72"/>
      <c r="X449" s="72"/>
      <c r="Y449" s="561"/>
      <c r="Z449" s="72"/>
      <c r="AA449" s="72"/>
      <c r="AB449" s="72"/>
      <c r="AC449" s="72"/>
      <c r="AD449" s="72"/>
      <c r="AE449" s="72"/>
    </row>
    <row r="450" spans="1:33" s="69" customFormat="1" ht="24.75" customHeight="1">
      <c r="A450" s="67">
        <v>7</v>
      </c>
      <c r="B450" s="67"/>
      <c r="C450" s="67"/>
      <c r="D450" s="67"/>
      <c r="E450" s="67"/>
      <c r="F450" s="67"/>
      <c r="G450" s="67"/>
      <c r="H450" s="67"/>
      <c r="I450" s="68" t="s">
        <v>133</v>
      </c>
      <c r="J450" s="67"/>
      <c r="K450" s="67"/>
      <c r="L450" s="67"/>
      <c r="M450" s="67"/>
      <c r="N450" s="67"/>
      <c r="O450" s="67"/>
      <c r="P450" s="67"/>
      <c r="Q450" s="67"/>
      <c r="R450" s="67"/>
      <c r="S450" s="67"/>
      <c r="T450" s="67"/>
      <c r="U450" s="67"/>
      <c r="V450" s="67"/>
      <c r="W450" s="67"/>
      <c r="X450" s="67"/>
      <c r="Y450" s="366"/>
      <c r="Z450" s="67"/>
      <c r="AA450" s="67"/>
      <c r="AB450" s="67"/>
      <c r="AC450" s="67"/>
      <c r="AD450" s="67"/>
      <c r="AE450" s="67"/>
    </row>
    <row r="451" spans="1:33" s="1129" customFormat="1" ht="68.25" customHeight="1">
      <c r="A451" s="1115" t="s">
        <v>66</v>
      </c>
      <c r="B451" s="1131" t="s">
        <v>1520</v>
      </c>
      <c r="C451" s="1115" t="s">
        <v>65</v>
      </c>
      <c r="D451" s="1115" t="s">
        <v>66</v>
      </c>
      <c r="E451" s="1115" t="s">
        <v>66</v>
      </c>
      <c r="F451" s="1115" t="s">
        <v>66</v>
      </c>
      <c r="G451" s="1115"/>
      <c r="H451" s="1117"/>
      <c r="I451" s="1118" t="s">
        <v>221</v>
      </c>
      <c r="J451" s="1117"/>
      <c r="K451" s="1119">
        <v>72</v>
      </c>
      <c r="L451" s="1120">
        <f>SUM(L452:L476)</f>
        <v>3669760101</v>
      </c>
      <c r="M451" s="1121">
        <v>24</v>
      </c>
      <c r="N451" s="1122">
        <f>SUM(N452:N476)</f>
        <v>0</v>
      </c>
      <c r="O451" s="1123">
        <v>12</v>
      </c>
      <c r="P451" s="1124">
        <f>SUM(P452:P476)</f>
        <v>590536850</v>
      </c>
      <c r="Q451" s="1863">
        <v>3</v>
      </c>
      <c r="R451" s="1866">
        <f>SUM(R452:R476)</f>
        <v>102335695</v>
      </c>
      <c r="S451" s="1861"/>
      <c r="T451" s="1125"/>
      <c r="U451" s="1117"/>
      <c r="V451" s="1865"/>
      <c r="W451" s="1117"/>
      <c r="X451" s="1117"/>
      <c r="Y451" s="1126">
        <f>Q451+S451+U451+W451</f>
        <v>3</v>
      </c>
      <c r="Z451" s="1866">
        <f>R451+T451+V451+X451</f>
        <v>102335695</v>
      </c>
      <c r="AA451" s="1865">
        <f>Y451+M451</f>
        <v>27</v>
      </c>
      <c r="AB451" s="1866">
        <f>Z451+N451</f>
        <v>102335695</v>
      </c>
      <c r="AC451" s="1121">
        <f>AA451/K451*100</f>
        <v>37.5</v>
      </c>
      <c r="AD451" s="1127">
        <f>AB451/L451*100</f>
        <v>2.7886208412401072</v>
      </c>
      <c r="AE451" s="1861"/>
      <c r="AF451" s="1128"/>
      <c r="AG451" s="1128"/>
    </row>
    <row r="452" spans="1:33" s="1134" customFormat="1" ht="39.75" customHeight="1">
      <c r="A452" s="1130"/>
      <c r="B452" s="1131"/>
      <c r="C452" s="1115" t="s">
        <v>65</v>
      </c>
      <c r="D452" s="1115" t="s">
        <v>66</v>
      </c>
      <c r="E452" s="1115" t="s">
        <v>66</v>
      </c>
      <c r="F452" s="1115" t="s">
        <v>66</v>
      </c>
      <c r="G452" s="1115"/>
      <c r="H452" s="1132" t="s">
        <v>65</v>
      </c>
      <c r="I452" s="1189" t="s">
        <v>1521</v>
      </c>
      <c r="J452" s="1880" t="s">
        <v>1522</v>
      </c>
      <c r="K452" s="2406">
        <v>72</v>
      </c>
      <c r="L452" s="2411">
        <v>281676000</v>
      </c>
      <c r="M452" s="2406">
        <v>24</v>
      </c>
      <c r="N452" s="2415">
        <v>0</v>
      </c>
      <c r="O452" s="2406">
        <v>12</v>
      </c>
      <c r="P452" s="2423">
        <v>36000000</v>
      </c>
      <c r="Q452" s="2412">
        <v>3</v>
      </c>
      <c r="R452" s="2411">
        <v>6382445</v>
      </c>
      <c r="S452" s="2412"/>
      <c r="T452" s="2424"/>
      <c r="U452" s="2426"/>
      <c r="V452" s="2411"/>
      <c r="W452" s="2427"/>
      <c r="X452" s="2423"/>
      <c r="Y452" s="2422">
        <f>Q452+S452+U452+W452</f>
        <v>3</v>
      </c>
      <c r="Z452" s="2411">
        <f>R452+T452+V452+X452</f>
        <v>6382445</v>
      </c>
      <c r="AA452" s="2406">
        <f>M452+Y452</f>
        <v>27</v>
      </c>
      <c r="AB452" s="2407">
        <f>N452+Z452</f>
        <v>6382445</v>
      </c>
      <c r="AC452" s="2406">
        <f>AA452/K452*100</f>
        <v>37.5</v>
      </c>
      <c r="AD452" s="2411">
        <f>AB452/L452*100</f>
        <v>2.2658817222624577</v>
      </c>
      <c r="AE452" s="2412" t="s">
        <v>1523</v>
      </c>
      <c r="AF452" s="1133"/>
      <c r="AG452" s="1133"/>
    </row>
    <row r="453" spans="1:33" s="1134" customFormat="1" ht="25.5" customHeight="1">
      <c r="A453" s="1130"/>
      <c r="B453" s="1131"/>
      <c r="C453" s="1130"/>
      <c r="D453" s="1130"/>
      <c r="E453" s="1130"/>
      <c r="F453" s="1130"/>
      <c r="G453" s="1130"/>
      <c r="H453" s="1130"/>
      <c r="I453" s="1137"/>
      <c r="J453" s="1135" t="s">
        <v>1524</v>
      </c>
      <c r="K453" s="2406"/>
      <c r="L453" s="2411"/>
      <c r="M453" s="2406"/>
      <c r="N453" s="2415"/>
      <c r="O453" s="2406"/>
      <c r="P453" s="2423"/>
      <c r="Q453" s="2412"/>
      <c r="R453" s="2411"/>
      <c r="S453" s="2412"/>
      <c r="T453" s="2424"/>
      <c r="U453" s="2412"/>
      <c r="V453" s="2411"/>
      <c r="W453" s="2428"/>
      <c r="X453" s="2423"/>
      <c r="Y453" s="2422"/>
      <c r="Z453" s="2411"/>
      <c r="AA453" s="2406"/>
      <c r="AB453" s="2407"/>
      <c r="AC453" s="2406"/>
      <c r="AD453" s="2411"/>
      <c r="AE453" s="2412"/>
      <c r="AF453" s="1133"/>
      <c r="AG453" s="1133"/>
    </row>
    <row r="454" spans="1:33" s="1134" customFormat="1" ht="36.75" customHeight="1">
      <c r="A454" s="1130"/>
      <c r="B454" s="1131"/>
      <c r="C454" s="1115" t="s">
        <v>65</v>
      </c>
      <c r="D454" s="1115" t="s">
        <v>66</v>
      </c>
      <c r="E454" s="1115" t="s">
        <v>66</v>
      </c>
      <c r="F454" s="1115" t="s">
        <v>66</v>
      </c>
      <c r="G454" s="1115"/>
      <c r="H454" s="1132" t="s">
        <v>198</v>
      </c>
      <c r="I454" s="2425" t="s">
        <v>1287</v>
      </c>
      <c r="J454" s="1136" t="s">
        <v>1525</v>
      </c>
      <c r="K454" s="2406">
        <v>72</v>
      </c>
      <c r="L454" s="2411">
        <v>0</v>
      </c>
      <c r="M454" s="2406">
        <v>24</v>
      </c>
      <c r="N454" s="2415">
        <v>0</v>
      </c>
      <c r="O454" s="2406">
        <v>12</v>
      </c>
      <c r="P454" s="2423">
        <v>77500000</v>
      </c>
      <c r="Q454" s="2412">
        <v>3</v>
      </c>
      <c r="R454" s="2411">
        <v>12300000</v>
      </c>
      <c r="S454" s="2412"/>
      <c r="T454" s="2424"/>
      <c r="U454" s="2412"/>
      <c r="V454" s="2411"/>
      <c r="W454" s="2421"/>
      <c r="X454" s="2411"/>
      <c r="Y454" s="2422">
        <f>Q454+S454+U454+W454</f>
        <v>3</v>
      </c>
      <c r="Z454" s="2411">
        <f>R454+T454+V454+X454</f>
        <v>12300000</v>
      </c>
      <c r="AA454" s="2406">
        <f>M454+Y454</f>
        <v>27</v>
      </c>
      <c r="AB454" s="2407">
        <f>N454+Z454</f>
        <v>12300000</v>
      </c>
      <c r="AC454" s="2406">
        <f>AA454/K454*100</f>
        <v>37.5</v>
      </c>
      <c r="AD454" s="2411" t="e">
        <f>AB454/L454*100</f>
        <v>#DIV/0!</v>
      </c>
      <c r="AE454" s="2412" t="s">
        <v>1523</v>
      </c>
      <c r="AF454" s="1133"/>
      <c r="AG454" s="1133"/>
    </row>
    <row r="455" spans="1:33" s="1134" customFormat="1" ht="27" customHeight="1">
      <c r="A455" s="1130"/>
      <c r="B455" s="1137"/>
      <c r="C455" s="1117"/>
      <c r="D455" s="1117"/>
      <c r="E455" s="1117"/>
      <c r="F455" s="1117"/>
      <c r="G455" s="1117"/>
      <c r="H455" s="1130"/>
      <c r="I455" s="2425"/>
      <c r="J455" s="1135" t="s">
        <v>1526</v>
      </c>
      <c r="K455" s="2406"/>
      <c r="L455" s="2411"/>
      <c r="M455" s="2406"/>
      <c r="N455" s="2415"/>
      <c r="O455" s="2406"/>
      <c r="P455" s="2423"/>
      <c r="Q455" s="2412"/>
      <c r="R455" s="2411"/>
      <c r="S455" s="2412"/>
      <c r="T455" s="2424"/>
      <c r="U455" s="2412"/>
      <c r="V455" s="2411"/>
      <c r="W455" s="2412"/>
      <c r="X455" s="2411"/>
      <c r="Y455" s="2422"/>
      <c r="Z455" s="2411"/>
      <c r="AA455" s="2406"/>
      <c r="AB455" s="2407"/>
      <c r="AC455" s="2406"/>
      <c r="AD455" s="2411"/>
      <c r="AE455" s="2412"/>
      <c r="AF455" s="1133"/>
      <c r="AG455" s="1133"/>
    </row>
    <row r="456" spans="1:33" s="1134" customFormat="1" ht="18.600000000000001" customHeight="1">
      <c r="A456" s="1130"/>
      <c r="B456" s="1137"/>
      <c r="C456" s="1115" t="s">
        <v>65</v>
      </c>
      <c r="D456" s="1115" t="s">
        <v>66</v>
      </c>
      <c r="E456" s="1115" t="s">
        <v>66</v>
      </c>
      <c r="F456" s="1115" t="s">
        <v>66</v>
      </c>
      <c r="G456" s="1115"/>
      <c r="H456" s="1132" t="s">
        <v>93</v>
      </c>
      <c r="I456" s="2425" t="s">
        <v>149</v>
      </c>
      <c r="J456" s="1135" t="s">
        <v>1527</v>
      </c>
      <c r="K456" s="2406">
        <v>72</v>
      </c>
      <c r="L456" s="2411">
        <v>1024028824</v>
      </c>
      <c r="M456" s="2406">
        <v>24</v>
      </c>
      <c r="N456" s="2415">
        <v>0</v>
      </c>
      <c r="O456" s="2406">
        <v>12</v>
      </c>
      <c r="P456" s="2423">
        <v>162175700</v>
      </c>
      <c r="Q456" s="2412">
        <v>3</v>
      </c>
      <c r="R456" s="2411">
        <v>28307350</v>
      </c>
      <c r="S456" s="2412"/>
      <c r="T456" s="2424"/>
      <c r="U456" s="2412"/>
      <c r="V456" s="2411"/>
      <c r="W456" s="2429"/>
      <c r="X456" s="2411"/>
      <c r="Y456" s="2422">
        <f>Q456+S456+U456+W456</f>
        <v>3</v>
      </c>
      <c r="Z456" s="2411">
        <f>R456+T456+V456+X456</f>
        <v>28307350</v>
      </c>
      <c r="AA456" s="2406">
        <f>M456+Y456</f>
        <v>27</v>
      </c>
      <c r="AB456" s="2407">
        <f>N456+Z456</f>
        <v>28307350</v>
      </c>
      <c r="AC456" s="2406">
        <f>AA456/K456*100</f>
        <v>37.5</v>
      </c>
      <c r="AD456" s="2411">
        <f>AB456/L456*100</f>
        <v>2.7643118373785152</v>
      </c>
      <c r="AE456" s="2412" t="s">
        <v>1523</v>
      </c>
      <c r="AF456" s="1133"/>
      <c r="AG456" s="1133"/>
    </row>
    <row r="457" spans="1:33" s="1134" customFormat="1" ht="27.75" customHeight="1">
      <c r="A457" s="1130"/>
      <c r="B457" s="1137"/>
      <c r="C457" s="1117"/>
      <c r="D457" s="1117"/>
      <c r="E457" s="1117"/>
      <c r="F457" s="1117"/>
      <c r="G457" s="1117"/>
      <c r="H457" s="1873"/>
      <c r="I457" s="2425"/>
      <c r="J457" s="1135" t="s">
        <v>1528</v>
      </c>
      <c r="K457" s="2406"/>
      <c r="L457" s="2411"/>
      <c r="M457" s="2406"/>
      <c r="N457" s="2415"/>
      <c r="O457" s="2406"/>
      <c r="P457" s="2423"/>
      <c r="Q457" s="2412"/>
      <c r="R457" s="2411"/>
      <c r="S457" s="2412"/>
      <c r="T457" s="2424"/>
      <c r="U457" s="2412"/>
      <c r="V457" s="2411"/>
      <c r="W457" s="2412"/>
      <c r="X457" s="2411"/>
      <c r="Y457" s="2422"/>
      <c r="Z457" s="2411"/>
      <c r="AA457" s="2406"/>
      <c r="AB457" s="2407"/>
      <c r="AC457" s="2406"/>
      <c r="AD457" s="2411"/>
      <c r="AE457" s="2412"/>
      <c r="AF457" s="1133"/>
      <c r="AG457" s="1133"/>
    </row>
    <row r="458" spans="1:33" s="1134" customFormat="1" ht="27.6" customHeight="1">
      <c r="A458" s="1130"/>
      <c r="B458" s="1137"/>
      <c r="C458" s="1115" t="s">
        <v>65</v>
      </c>
      <c r="D458" s="1115" t="s">
        <v>66</v>
      </c>
      <c r="E458" s="1115" t="s">
        <v>66</v>
      </c>
      <c r="F458" s="1115" t="s">
        <v>66</v>
      </c>
      <c r="G458" s="1115"/>
      <c r="H458" s="1873">
        <v>10</v>
      </c>
      <c r="I458" s="2425" t="s">
        <v>1529</v>
      </c>
      <c r="J458" s="1130" t="s">
        <v>1530</v>
      </c>
      <c r="K458" s="2406">
        <v>72</v>
      </c>
      <c r="L458" s="2411">
        <v>222114913</v>
      </c>
      <c r="M458" s="2406">
        <v>24</v>
      </c>
      <c r="N458" s="2415">
        <v>0</v>
      </c>
      <c r="O458" s="2406">
        <v>12</v>
      </c>
      <c r="P458" s="2423">
        <v>32221550</v>
      </c>
      <c r="Q458" s="2412">
        <v>3</v>
      </c>
      <c r="R458" s="2411">
        <v>11349200</v>
      </c>
      <c r="S458" s="2412"/>
      <c r="T458" s="2424"/>
      <c r="U458" s="2412"/>
      <c r="V458" s="2411"/>
      <c r="W458" s="2412"/>
      <c r="X458" s="2411"/>
      <c r="Y458" s="2422">
        <f>Q458+S458+U458+W458</f>
        <v>3</v>
      </c>
      <c r="Z458" s="2411">
        <f>R458+T458+V458+X458</f>
        <v>11349200</v>
      </c>
      <c r="AA458" s="2406">
        <f>M458+Y458</f>
        <v>27</v>
      </c>
      <c r="AB458" s="2407">
        <f>N458+Z458</f>
        <v>11349200</v>
      </c>
      <c r="AC458" s="2406">
        <f>AA458/K458*100</f>
        <v>37.5</v>
      </c>
      <c r="AD458" s="2411">
        <f>AB458/L458*100</f>
        <v>5.1096073859750248</v>
      </c>
      <c r="AE458" s="2412" t="s">
        <v>1523</v>
      </c>
      <c r="AF458" s="1133"/>
      <c r="AG458" s="1133"/>
    </row>
    <row r="459" spans="1:33" s="1134" customFormat="1" ht="22.5" customHeight="1">
      <c r="A459" s="1130"/>
      <c r="B459" s="1137"/>
      <c r="C459" s="1117"/>
      <c r="D459" s="1117"/>
      <c r="E459" s="1117"/>
      <c r="F459" s="1117"/>
      <c r="G459" s="1117"/>
      <c r="H459" s="1873"/>
      <c r="I459" s="2425"/>
      <c r="J459" s="1135" t="s">
        <v>1531</v>
      </c>
      <c r="K459" s="2406"/>
      <c r="L459" s="2411"/>
      <c r="M459" s="2406"/>
      <c r="N459" s="2415"/>
      <c r="O459" s="2406"/>
      <c r="P459" s="2423"/>
      <c r="Q459" s="2412"/>
      <c r="R459" s="2411"/>
      <c r="S459" s="2412"/>
      <c r="T459" s="2424"/>
      <c r="U459" s="2412"/>
      <c r="V459" s="2411"/>
      <c r="W459" s="2412"/>
      <c r="X459" s="2411"/>
      <c r="Y459" s="2422"/>
      <c r="Z459" s="2411"/>
      <c r="AA459" s="2406"/>
      <c r="AB459" s="2407"/>
      <c r="AC459" s="2406"/>
      <c r="AD459" s="2411"/>
      <c r="AE459" s="2412"/>
      <c r="AF459" s="1133"/>
      <c r="AG459" s="1133"/>
    </row>
    <row r="460" spans="1:33" s="1134" customFormat="1" ht="27" customHeight="1">
      <c r="A460" s="1130"/>
      <c r="B460" s="1137"/>
      <c r="C460" s="1115" t="s">
        <v>65</v>
      </c>
      <c r="D460" s="1115" t="s">
        <v>66</v>
      </c>
      <c r="E460" s="1115" t="s">
        <v>66</v>
      </c>
      <c r="F460" s="1115" t="s">
        <v>66</v>
      </c>
      <c r="G460" s="1115"/>
      <c r="H460" s="1873">
        <v>11</v>
      </c>
      <c r="I460" s="2425" t="s">
        <v>1532</v>
      </c>
      <c r="J460" s="1135" t="s">
        <v>1533</v>
      </c>
      <c r="K460" s="2406">
        <v>72</v>
      </c>
      <c r="L460" s="2411">
        <v>168834688</v>
      </c>
      <c r="M460" s="2406">
        <v>24</v>
      </c>
      <c r="N460" s="2415">
        <v>0</v>
      </c>
      <c r="O460" s="2406">
        <v>12</v>
      </c>
      <c r="P460" s="2423">
        <v>24583600</v>
      </c>
      <c r="Q460" s="2412">
        <v>3</v>
      </c>
      <c r="R460" s="2411">
        <v>6143700</v>
      </c>
      <c r="S460" s="2412"/>
      <c r="T460" s="2424"/>
      <c r="U460" s="2412"/>
      <c r="V460" s="2411"/>
      <c r="W460" s="2421"/>
      <c r="X460" s="2411"/>
      <c r="Y460" s="2422">
        <f>Q460+S460+U460+W460</f>
        <v>3</v>
      </c>
      <c r="Z460" s="2411">
        <f>R460+T460+V460+X460</f>
        <v>6143700</v>
      </c>
      <c r="AA460" s="2406">
        <f>M460+Y460</f>
        <v>27</v>
      </c>
      <c r="AB460" s="2407">
        <f>N460+Z460</f>
        <v>6143700</v>
      </c>
      <c r="AC460" s="2406">
        <f>AA460/K460*100</f>
        <v>37.5</v>
      </c>
      <c r="AD460" s="2411">
        <f>AB460/L460*100</f>
        <v>3.6388849191938561</v>
      </c>
      <c r="AE460" s="2412" t="s">
        <v>1523</v>
      </c>
      <c r="AF460" s="1133"/>
      <c r="AG460" s="1133"/>
    </row>
    <row r="461" spans="1:33" s="1134" customFormat="1" ht="30" customHeight="1">
      <c r="A461" s="1130"/>
      <c r="B461" s="1137"/>
      <c r="C461" s="1117"/>
      <c r="D461" s="1117"/>
      <c r="E461" s="1117"/>
      <c r="F461" s="1117"/>
      <c r="G461" s="1117"/>
      <c r="H461" s="1873"/>
      <c r="I461" s="2425"/>
      <c r="J461" s="1135" t="s">
        <v>1534</v>
      </c>
      <c r="K461" s="2406"/>
      <c r="L461" s="2411"/>
      <c r="M461" s="2406"/>
      <c r="N461" s="2415"/>
      <c r="O461" s="2406"/>
      <c r="P461" s="2423"/>
      <c r="Q461" s="2412"/>
      <c r="R461" s="2411"/>
      <c r="S461" s="2412"/>
      <c r="T461" s="2424"/>
      <c r="U461" s="2412"/>
      <c r="V461" s="2411"/>
      <c r="W461" s="2412"/>
      <c r="X461" s="2411"/>
      <c r="Y461" s="2422"/>
      <c r="Z461" s="2411"/>
      <c r="AA461" s="2406"/>
      <c r="AB461" s="2407"/>
      <c r="AC461" s="2406"/>
      <c r="AD461" s="2411"/>
      <c r="AE461" s="2412"/>
      <c r="AF461" s="1133"/>
      <c r="AG461" s="1133"/>
    </row>
    <row r="462" spans="1:33" s="1134" customFormat="1" ht="18.95" customHeight="1">
      <c r="A462" s="1130"/>
      <c r="B462" s="1137"/>
      <c r="C462" s="1115" t="s">
        <v>65</v>
      </c>
      <c r="D462" s="1115" t="s">
        <v>66</v>
      </c>
      <c r="E462" s="1115" t="s">
        <v>66</v>
      </c>
      <c r="F462" s="1115" t="s">
        <v>66</v>
      </c>
      <c r="G462" s="1115"/>
      <c r="H462" s="1873">
        <v>12</v>
      </c>
      <c r="I462" s="2425" t="s">
        <v>1535</v>
      </c>
      <c r="J462" s="1135" t="s">
        <v>1536</v>
      </c>
      <c r="K462" s="2406">
        <v>72</v>
      </c>
      <c r="L462" s="2411">
        <v>101626351</v>
      </c>
      <c r="M462" s="2406">
        <v>24</v>
      </c>
      <c r="N462" s="2415">
        <v>0</v>
      </c>
      <c r="O462" s="2406">
        <v>12</v>
      </c>
      <c r="P462" s="2423">
        <v>17311000</v>
      </c>
      <c r="Q462" s="2412">
        <v>3</v>
      </c>
      <c r="R462" s="2411">
        <v>3476000</v>
      </c>
      <c r="S462" s="2412"/>
      <c r="T462" s="2424"/>
      <c r="U462" s="2421"/>
      <c r="V462" s="2411"/>
      <c r="W462" s="2430"/>
      <c r="X462" s="2411"/>
      <c r="Y462" s="2422">
        <f>Q462+S462+U462+W462</f>
        <v>3</v>
      </c>
      <c r="Z462" s="2411">
        <f>R462+T462+V462+X462</f>
        <v>3476000</v>
      </c>
      <c r="AA462" s="2406">
        <f>M462+Y462</f>
        <v>27</v>
      </c>
      <c r="AB462" s="2407">
        <f>N462+Z462</f>
        <v>3476000</v>
      </c>
      <c r="AC462" s="2406">
        <f>AA462/K462*100</f>
        <v>37.5</v>
      </c>
      <c r="AD462" s="2411">
        <f>AB462/L462*100</f>
        <v>3.4203727338394745</v>
      </c>
      <c r="AE462" s="2412" t="s">
        <v>1523</v>
      </c>
      <c r="AF462" s="1133"/>
      <c r="AG462" s="1133"/>
    </row>
    <row r="463" spans="1:33" s="1134" customFormat="1" ht="30" customHeight="1">
      <c r="A463" s="1130"/>
      <c r="B463" s="1137"/>
      <c r="C463" s="1117"/>
      <c r="D463" s="1117"/>
      <c r="E463" s="1117"/>
      <c r="F463" s="1117"/>
      <c r="G463" s="1117"/>
      <c r="H463" s="1873"/>
      <c r="I463" s="2425"/>
      <c r="J463" s="1135" t="s">
        <v>1537</v>
      </c>
      <c r="K463" s="2406"/>
      <c r="L463" s="2411"/>
      <c r="M463" s="2406"/>
      <c r="N463" s="2415"/>
      <c r="O463" s="2406"/>
      <c r="P463" s="2423"/>
      <c r="Q463" s="2412"/>
      <c r="R463" s="2411"/>
      <c r="S463" s="2412"/>
      <c r="T463" s="2424"/>
      <c r="U463" s="2412"/>
      <c r="V463" s="2411"/>
      <c r="W463" s="2430"/>
      <c r="X463" s="2411"/>
      <c r="Y463" s="2422"/>
      <c r="Z463" s="2411"/>
      <c r="AA463" s="2406"/>
      <c r="AB463" s="2407"/>
      <c r="AC463" s="2406"/>
      <c r="AD463" s="2411"/>
      <c r="AE463" s="2412"/>
      <c r="AF463" s="1138"/>
      <c r="AG463" s="1133"/>
    </row>
    <row r="464" spans="1:33" s="1134" customFormat="1" ht="24.95" customHeight="1">
      <c r="A464" s="1130"/>
      <c r="B464" s="1137"/>
      <c r="C464" s="1115" t="s">
        <v>65</v>
      </c>
      <c r="D464" s="1115" t="s">
        <v>66</v>
      </c>
      <c r="E464" s="1115" t="s">
        <v>66</v>
      </c>
      <c r="F464" s="1115" t="s">
        <v>66</v>
      </c>
      <c r="G464" s="1115"/>
      <c r="H464" s="1873">
        <v>15</v>
      </c>
      <c r="I464" s="2432" t="s">
        <v>1538</v>
      </c>
      <c r="J464" s="1135" t="s">
        <v>1539</v>
      </c>
      <c r="K464" s="2406">
        <v>72</v>
      </c>
      <c r="L464" s="2411">
        <v>74939200</v>
      </c>
      <c r="M464" s="2406">
        <v>24</v>
      </c>
      <c r="N464" s="2415">
        <v>0</v>
      </c>
      <c r="O464" s="2406">
        <v>12</v>
      </c>
      <c r="P464" s="2423">
        <v>14320000</v>
      </c>
      <c r="Q464" s="2412">
        <v>3</v>
      </c>
      <c r="R464" s="2411">
        <v>785000</v>
      </c>
      <c r="S464" s="2412"/>
      <c r="T464" s="2424"/>
      <c r="U464" s="2426"/>
      <c r="V464" s="2407"/>
      <c r="W464" s="2412"/>
      <c r="X464" s="2411"/>
      <c r="Y464" s="2422">
        <f>Q464+S464+U464+W464</f>
        <v>3</v>
      </c>
      <c r="Z464" s="2411">
        <f>R464+T464+V464+X464</f>
        <v>785000</v>
      </c>
      <c r="AA464" s="2406">
        <f>M464+Y464</f>
        <v>27</v>
      </c>
      <c r="AB464" s="2407">
        <f>N464+Z464</f>
        <v>785000</v>
      </c>
      <c r="AC464" s="2406">
        <f>AA464/K464*100</f>
        <v>37.5</v>
      </c>
      <c r="AD464" s="2411">
        <f>AB464/L464*100</f>
        <v>1.0475158528513782</v>
      </c>
      <c r="AE464" s="2412" t="s">
        <v>1523</v>
      </c>
      <c r="AF464" s="1139"/>
      <c r="AG464" s="1133"/>
    </row>
    <row r="465" spans="1:33" s="1134" customFormat="1" ht="26.1" customHeight="1">
      <c r="A465" s="1130"/>
      <c r="B465" s="1137"/>
      <c r="C465" s="1117"/>
      <c r="D465" s="1117"/>
      <c r="E465" s="1117"/>
      <c r="F465" s="1117"/>
      <c r="G465" s="1117"/>
      <c r="H465" s="1873"/>
      <c r="I465" s="2432"/>
      <c r="J465" s="1135" t="s">
        <v>1540</v>
      </c>
      <c r="K465" s="2406"/>
      <c r="L465" s="2411"/>
      <c r="M465" s="2406"/>
      <c r="N465" s="2415"/>
      <c r="O465" s="2406"/>
      <c r="P465" s="2423"/>
      <c r="Q465" s="2412"/>
      <c r="R465" s="2411"/>
      <c r="S465" s="2412"/>
      <c r="T465" s="2424"/>
      <c r="U465" s="2412"/>
      <c r="V465" s="2406"/>
      <c r="W465" s="2412"/>
      <c r="X465" s="2411"/>
      <c r="Y465" s="2422"/>
      <c r="Z465" s="2411"/>
      <c r="AA465" s="2406"/>
      <c r="AB465" s="2407"/>
      <c r="AC465" s="2406"/>
      <c r="AD465" s="2411"/>
      <c r="AE465" s="2412"/>
      <c r="AF465" s="1133"/>
      <c r="AG465" s="1133"/>
    </row>
    <row r="466" spans="1:33" s="1129" customFormat="1" ht="26.1" customHeight="1">
      <c r="A466" s="1117"/>
      <c r="B466" s="1117"/>
      <c r="C466" s="1115" t="s">
        <v>65</v>
      </c>
      <c r="D466" s="1115" t="s">
        <v>66</v>
      </c>
      <c r="E466" s="1115" t="s">
        <v>66</v>
      </c>
      <c r="F466" s="1115" t="s">
        <v>66</v>
      </c>
      <c r="G466" s="1115"/>
      <c r="H466" s="1117">
        <v>17</v>
      </c>
      <c r="I466" s="2425" t="s">
        <v>1541</v>
      </c>
      <c r="J466" s="1879" t="s">
        <v>1542</v>
      </c>
      <c r="K466" s="2406">
        <v>72</v>
      </c>
      <c r="L466" s="2411">
        <v>184488800</v>
      </c>
      <c r="M466" s="2406">
        <v>24</v>
      </c>
      <c r="N466" s="2431">
        <v>0</v>
      </c>
      <c r="O466" s="2406">
        <v>12</v>
      </c>
      <c r="P466" s="2433">
        <v>31800000</v>
      </c>
      <c r="Q466" s="2412">
        <v>3</v>
      </c>
      <c r="R466" s="2434">
        <v>4675000</v>
      </c>
      <c r="S466" s="2412"/>
      <c r="T466" s="2424"/>
      <c r="U466" s="2412"/>
      <c r="V466" s="2411"/>
      <c r="W466" s="2412"/>
      <c r="X466" s="2411"/>
      <c r="Y466" s="2422">
        <f>Q466+S466+U466+W466</f>
        <v>3</v>
      </c>
      <c r="Z466" s="2411">
        <f>R466+T466+V466+X466</f>
        <v>4675000</v>
      </c>
      <c r="AA466" s="2406">
        <f>M466+Y466</f>
        <v>27</v>
      </c>
      <c r="AB466" s="2407">
        <f>N466+Z466</f>
        <v>4675000</v>
      </c>
      <c r="AC466" s="2406">
        <f>AA466/K466*100</f>
        <v>37.5</v>
      </c>
      <c r="AD466" s="2411">
        <f>AB466/L466*100</f>
        <v>2.5340291659981529</v>
      </c>
      <c r="AE466" s="2412" t="s">
        <v>1523</v>
      </c>
      <c r="AF466" s="1128"/>
      <c r="AG466" s="1128"/>
    </row>
    <row r="467" spans="1:33" s="1134" customFormat="1" ht="26.1" customHeight="1">
      <c r="A467" s="1130"/>
      <c r="B467" s="1130"/>
      <c r="C467" s="1130"/>
      <c r="D467" s="1130"/>
      <c r="E467" s="1130"/>
      <c r="F467" s="1130"/>
      <c r="G467" s="1130"/>
      <c r="H467" s="1130"/>
      <c r="I467" s="2425"/>
      <c r="J467" s="1879" t="s">
        <v>1543</v>
      </c>
      <c r="K467" s="2406"/>
      <c r="L467" s="2411"/>
      <c r="M467" s="2406"/>
      <c r="N467" s="2431"/>
      <c r="O467" s="2406"/>
      <c r="P467" s="2433"/>
      <c r="Q467" s="2412"/>
      <c r="R467" s="2434"/>
      <c r="S467" s="2412"/>
      <c r="T467" s="2424"/>
      <c r="U467" s="2412"/>
      <c r="V467" s="2411"/>
      <c r="W467" s="2412"/>
      <c r="X467" s="2411"/>
      <c r="Y467" s="2422"/>
      <c r="Z467" s="2411"/>
      <c r="AA467" s="2406"/>
      <c r="AB467" s="2407"/>
      <c r="AC467" s="2406"/>
      <c r="AD467" s="2411"/>
      <c r="AE467" s="2412"/>
      <c r="AF467" s="1133"/>
      <c r="AG467" s="1133"/>
    </row>
    <row r="468" spans="1:33" s="1134" customFormat="1" ht="26.45" customHeight="1">
      <c r="A468" s="1130"/>
      <c r="B468" s="1130"/>
      <c r="C468" s="1115" t="s">
        <v>65</v>
      </c>
      <c r="D468" s="1115" t="s">
        <v>66</v>
      </c>
      <c r="E468" s="1115" t="s">
        <v>66</v>
      </c>
      <c r="F468" s="1115" t="s">
        <v>66</v>
      </c>
      <c r="G468" s="1115"/>
      <c r="H468" s="1130">
        <v>18</v>
      </c>
      <c r="I468" s="1137" t="s">
        <v>1544</v>
      </c>
      <c r="J468" s="1140" t="s">
        <v>1545</v>
      </c>
      <c r="K468" s="2406">
        <v>72</v>
      </c>
      <c r="L468" s="2411">
        <v>748497500</v>
      </c>
      <c r="M468" s="2406">
        <v>24</v>
      </c>
      <c r="N468" s="2415">
        <v>0</v>
      </c>
      <c r="O468" s="2406">
        <v>12</v>
      </c>
      <c r="P468" s="2423">
        <v>97500000</v>
      </c>
      <c r="Q468" s="2412">
        <v>3</v>
      </c>
      <c r="R468" s="2411">
        <v>17572000</v>
      </c>
      <c r="S468" s="1135"/>
      <c r="T468" s="1141"/>
      <c r="U468" s="1142"/>
      <c r="V468" s="1143"/>
      <c r="W468" s="1144"/>
      <c r="X468" s="1145"/>
      <c r="Y468" s="2422">
        <f>Q468+S468+U468+W468</f>
        <v>3</v>
      </c>
      <c r="Z468" s="2411">
        <f>R468+T468+V468+X468</f>
        <v>17572000</v>
      </c>
      <c r="AA468" s="2406">
        <f>M468+Y468</f>
        <v>27</v>
      </c>
      <c r="AB468" s="2407">
        <f>N468+Z468</f>
        <v>17572000</v>
      </c>
      <c r="AC468" s="2406">
        <f>AA468/K468*100</f>
        <v>37.5</v>
      </c>
      <c r="AD468" s="2411">
        <f>AB468/L468*100</f>
        <v>2.347636431651408</v>
      </c>
      <c r="AE468" s="1856" t="s">
        <v>1523</v>
      </c>
      <c r="AF468" s="1133"/>
      <c r="AG468" s="1133"/>
    </row>
    <row r="469" spans="1:33" s="1134" customFormat="1" ht="27.6" customHeight="1">
      <c r="A469" s="1130"/>
      <c r="B469" s="1130"/>
      <c r="C469" s="1117"/>
      <c r="D469" s="1117"/>
      <c r="E469" s="1117"/>
      <c r="F469" s="1117"/>
      <c r="G469" s="1117"/>
      <c r="H469" s="1873"/>
      <c r="I469" s="1137"/>
      <c r="J469" s="1130" t="s">
        <v>1546</v>
      </c>
      <c r="K469" s="2406"/>
      <c r="L469" s="2411"/>
      <c r="M469" s="2406"/>
      <c r="N469" s="2415"/>
      <c r="O469" s="2406"/>
      <c r="P469" s="2423"/>
      <c r="Q469" s="2412"/>
      <c r="R469" s="2411"/>
      <c r="S469" s="1135"/>
      <c r="T469" s="1141"/>
      <c r="U469" s="1135"/>
      <c r="V469" s="1135"/>
      <c r="W469" s="1135"/>
      <c r="X469" s="1145"/>
      <c r="Y469" s="2422"/>
      <c r="Z469" s="2411"/>
      <c r="AA469" s="2406"/>
      <c r="AB469" s="2407"/>
      <c r="AC469" s="2406"/>
      <c r="AD469" s="2411"/>
      <c r="AE469" s="1130"/>
      <c r="AF469" s="1133"/>
      <c r="AG469" s="1133"/>
    </row>
    <row r="470" spans="1:33" s="1134" customFormat="1" ht="27.95" customHeight="1">
      <c r="A470" s="1130"/>
      <c r="B470" s="1130"/>
      <c r="C470" s="1115" t="s">
        <v>65</v>
      </c>
      <c r="D470" s="1115" t="s">
        <v>66</v>
      </c>
      <c r="E470" s="1115" t="s">
        <v>66</v>
      </c>
      <c r="F470" s="1115" t="s">
        <v>66</v>
      </c>
      <c r="G470" s="1115"/>
      <c r="H470" s="1873">
        <v>31</v>
      </c>
      <c r="I470" s="2425" t="s">
        <v>1191</v>
      </c>
      <c r="J470" s="1135" t="s">
        <v>1547</v>
      </c>
      <c r="K470" s="2406">
        <v>72</v>
      </c>
      <c r="L470" s="2411">
        <v>50873070</v>
      </c>
      <c r="M470" s="2406">
        <v>24</v>
      </c>
      <c r="N470" s="2415">
        <v>0</v>
      </c>
      <c r="O470" s="2406">
        <v>0</v>
      </c>
      <c r="P470" s="2423">
        <v>0</v>
      </c>
      <c r="Q470" s="2412">
        <v>0</v>
      </c>
      <c r="R470" s="2411">
        <v>0</v>
      </c>
      <c r="S470" s="2412"/>
      <c r="T470" s="2424"/>
      <c r="U470" s="2421"/>
      <c r="V470" s="2407"/>
      <c r="W470" s="2429"/>
      <c r="X470" s="2411"/>
      <c r="Y470" s="2422">
        <f>Q470+S470+U470+W470</f>
        <v>0</v>
      </c>
      <c r="Z470" s="2411">
        <f>R470+T470+V470+X470</f>
        <v>0</v>
      </c>
      <c r="AA470" s="2406">
        <f>M470+Y470</f>
        <v>24</v>
      </c>
      <c r="AB470" s="2407">
        <f>N470+Z470</f>
        <v>0</v>
      </c>
      <c r="AC470" s="2406">
        <f>AA470/K470*100</f>
        <v>33.333333333333329</v>
      </c>
      <c r="AD470" s="2411">
        <f>AB470/L470*100</f>
        <v>0</v>
      </c>
      <c r="AE470" s="2412" t="s">
        <v>1523</v>
      </c>
      <c r="AF470" s="1133"/>
      <c r="AG470" s="1133"/>
    </row>
    <row r="471" spans="1:33" s="1134" customFormat="1" ht="37.5" customHeight="1">
      <c r="A471" s="1130"/>
      <c r="B471" s="1130"/>
      <c r="C471" s="1117"/>
      <c r="D471" s="1117"/>
      <c r="E471" s="1117"/>
      <c r="F471" s="1117"/>
      <c r="G471" s="1117"/>
      <c r="H471" s="1873"/>
      <c r="I471" s="2425"/>
      <c r="J471" s="1135" t="s">
        <v>1548</v>
      </c>
      <c r="K471" s="2406"/>
      <c r="L471" s="2411"/>
      <c r="M471" s="2406"/>
      <c r="N471" s="2415"/>
      <c r="O471" s="2406"/>
      <c r="P471" s="2423"/>
      <c r="Q471" s="2412"/>
      <c r="R471" s="2411"/>
      <c r="S471" s="2412"/>
      <c r="T471" s="2424"/>
      <c r="U471" s="2412"/>
      <c r="V471" s="2412"/>
      <c r="W471" s="2412"/>
      <c r="X471" s="2411"/>
      <c r="Y471" s="2422"/>
      <c r="Z471" s="2411"/>
      <c r="AA471" s="2406"/>
      <c r="AB471" s="2407"/>
      <c r="AC471" s="2406"/>
      <c r="AD471" s="2411"/>
      <c r="AE471" s="2412"/>
      <c r="AF471" s="1133"/>
      <c r="AG471" s="1133"/>
    </row>
    <row r="472" spans="1:33" s="1134" customFormat="1" ht="27.95" customHeight="1">
      <c r="A472" s="1130"/>
      <c r="B472" s="1130"/>
      <c r="C472" s="1115" t="s">
        <v>65</v>
      </c>
      <c r="D472" s="1115" t="s">
        <v>66</v>
      </c>
      <c r="E472" s="1115" t="s">
        <v>66</v>
      </c>
      <c r="F472" s="1115" t="s">
        <v>66</v>
      </c>
      <c r="G472" s="1115"/>
      <c r="H472" s="1873">
        <v>20</v>
      </c>
      <c r="I472" s="2425" t="s">
        <v>1549</v>
      </c>
      <c r="J472" s="1135" t="s">
        <v>1545</v>
      </c>
      <c r="K472" s="2406">
        <v>72</v>
      </c>
      <c r="L472" s="2411">
        <v>532365000</v>
      </c>
      <c r="M472" s="2406">
        <v>24</v>
      </c>
      <c r="N472" s="2415">
        <v>0</v>
      </c>
      <c r="O472" s="2406">
        <v>12</v>
      </c>
      <c r="P472" s="2423">
        <v>55725000</v>
      </c>
      <c r="Q472" s="2412">
        <v>3</v>
      </c>
      <c r="R472" s="2411">
        <v>4000000</v>
      </c>
      <c r="S472" s="2412"/>
      <c r="T472" s="2424"/>
      <c r="U472" s="2435"/>
      <c r="V472" s="2407"/>
      <c r="W472" s="2412"/>
      <c r="X472" s="2411"/>
      <c r="Y472" s="2422">
        <f>Q472+S472+U472+W472</f>
        <v>3</v>
      </c>
      <c r="Z472" s="2411">
        <f>R472+T472+V472+X472</f>
        <v>4000000</v>
      </c>
      <c r="AA472" s="2406">
        <f>M472+Y472</f>
        <v>27</v>
      </c>
      <c r="AB472" s="2407">
        <f>N472+Z472</f>
        <v>4000000</v>
      </c>
      <c r="AC472" s="2406">
        <f>AA472/K472*100</f>
        <v>37.5</v>
      </c>
      <c r="AD472" s="2411">
        <f>AB472/L472*100</f>
        <v>0.75136419561766832</v>
      </c>
      <c r="AE472" s="2412" t="s">
        <v>1523</v>
      </c>
      <c r="AF472" s="1133"/>
      <c r="AG472" s="1133"/>
    </row>
    <row r="473" spans="1:33" s="1134" customFormat="1" ht="26.1" customHeight="1">
      <c r="A473" s="1130"/>
      <c r="B473" s="1130"/>
      <c r="C473" s="1117"/>
      <c r="D473" s="1117"/>
      <c r="E473" s="1117"/>
      <c r="F473" s="1117"/>
      <c r="G473" s="1117"/>
      <c r="H473" s="1873"/>
      <c r="I473" s="2425"/>
      <c r="J473" s="1135" t="s">
        <v>1550</v>
      </c>
      <c r="K473" s="2406"/>
      <c r="L473" s="2411"/>
      <c r="M473" s="2406"/>
      <c r="N473" s="2415"/>
      <c r="O473" s="2406"/>
      <c r="P473" s="2423"/>
      <c r="Q473" s="2412"/>
      <c r="R473" s="2411"/>
      <c r="S473" s="2412"/>
      <c r="T473" s="2424"/>
      <c r="U473" s="2412"/>
      <c r="V473" s="2412"/>
      <c r="W473" s="2412"/>
      <c r="X473" s="2411"/>
      <c r="Y473" s="2422"/>
      <c r="Z473" s="2411"/>
      <c r="AA473" s="2406"/>
      <c r="AB473" s="2407"/>
      <c r="AC473" s="2406"/>
      <c r="AD473" s="2411"/>
      <c r="AE473" s="2412"/>
      <c r="AF473" s="1133"/>
      <c r="AG473" s="1133"/>
    </row>
    <row r="474" spans="1:33" s="1134" customFormat="1" ht="29.1" customHeight="1">
      <c r="A474" s="1130"/>
      <c r="B474" s="1130"/>
      <c r="C474" s="1115" t="s">
        <v>65</v>
      </c>
      <c r="D474" s="1115" t="s">
        <v>66</v>
      </c>
      <c r="E474" s="1115" t="s">
        <v>66</v>
      </c>
      <c r="F474" s="1115" t="s">
        <v>66</v>
      </c>
      <c r="G474" s="1115"/>
      <c r="H474" s="1873">
        <v>38</v>
      </c>
      <c r="I474" s="2425" t="s">
        <v>1551</v>
      </c>
      <c r="J474" s="1135" t="s">
        <v>1552</v>
      </c>
      <c r="K474" s="2406">
        <v>72</v>
      </c>
      <c r="L474" s="2411">
        <v>280315755</v>
      </c>
      <c r="M474" s="2406">
        <v>24</v>
      </c>
      <c r="N474" s="2415">
        <v>0</v>
      </c>
      <c r="O474" s="2406">
        <v>12</v>
      </c>
      <c r="P474" s="2423">
        <v>41400000</v>
      </c>
      <c r="Q474" s="2406">
        <v>3</v>
      </c>
      <c r="R474" s="2411">
        <v>7345000</v>
      </c>
      <c r="S474" s="2412"/>
      <c r="T474" s="2424"/>
      <c r="U474" s="2412"/>
      <c r="V474" s="2407"/>
      <c r="W474" s="2421"/>
      <c r="X474" s="2411"/>
      <c r="Y474" s="2406">
        <v>3</v>
      </c>
      <c r="Z474" s="2411">
        <f>R474+T474+V474+X474</f>
        <v>7345000</v>
      </c>
      <c r="AA474" s="2406">
        <v>27</v>
      </c>
      <c r="AB474" s="2407">
        <v>59882445</v>
      </c>
      <c r="AC474" s="2406">
        <v>37.5</v>
      </c>
      <c r="AD474" s="2411">
        <v>42.9509241113904</v>
      </c>
      <c r="AE474" s="2436" t="s">
        <v>1523</v>
      </c>
      <c r="AF474" s="1133"/>
      <c r="AG474" s="1133"/>
    </row>
    <row r="475" spans="1:33" s="1134" customFormat="1" ht="17.100000000000001" customHeight="1">
      <c r="A475" s="1130"/>
      <c r="B475" s="1130"/>
      <c r="C475" s="1130"/>
      <c r="D475" s="1130"/>
      <c r="E475" s="1130"/>
      <c r="F475" s="1130"/>
      <c r="G475" s="1130"/>
      <c r="H475" s="1130"/>
      <c r="I475" s="2425"/>
      <c r="J475" s="2437" t="s">
        <v>1553</v>
      </c>
      <c r="K475" s="2406"/>
      <c r="L475" s="2411"/>
      <c r="M475" s="2406"/>
      <c r="N475" s="2415"/>
      <c r="O475" s="2406"/>
      <c r="P475" s="2423"/>
      <c r="Q475" s="2406"/>
      <c r="R475" s="2411"/>
      <c r="S475" s="2412"/>
      <c r="T475" s="2424"/>
      <c r="U475" s="2412"/>
      <c r="V475" s="2412"/>
      <c r="W475" s="2412"/>
      <c r="X475" s="2411"/>
      <c r="Y475" s="2406"/>
      <c r="Z475" s="2411"/>
      <c r="AA475" s="2406"/>
      <c r="AB475" s="2407"/>
      <c r="AC475" s="2406"/>
      <c r="AD475" s="2411"/>
      <c r="AE475" s="2436"/>
      <c r="AF475" s="1133"/>
      <c r="AG475" s="1133"/>
    </row>
    <row r="476" spans="1:33" s="1134" customFormat="1" ht="10.5" customHeight="1">
      <c r="A476" s="1130"/>
      <c r="B476" s="1130"/>
      <c r="C476" s="1130"/>
      <c r="D476" s="1130"/>
      <c r="E476" s="1130"/>
      <c r="F476" s="1130"/>
      <c r="G476" s="1130"/>
      <c r="H476" s="1130"/>
      <c r="I476" s="2425"/>
      <c r="J476" s="2437"/>
      <c r="K476" s="2406"/>
      <c r="L476" s="2411"/>
      <c r="M476" s="2406"/>
      <c r="N476" s="2415"/>
      <c r="O476" s="2406"/>
      <c r="P476" s="2423"/>
      <c r="Q476" s="2406"/>
      <c r="R476" s="2411"/>
      <c r="S476" s="2412"/>
      <c r="T476" s="2424"/>
      <c r="U476" s="2412"/>
      <c r="V476" s="2412"/>
      <c r="W476" s="2412"/>
      <c r="X476" s="2411"/>
      <c r="Y476" s="2406"/>
      <c r="Z476" s="2411"/>
      <c r="AA476" s="2406"/>
      <c r="AB476" s="2407"/>
      <c r="AC476" s="2406"/>
      <c r="AD476" s="2411"/>
      <c r="AE476" s="2436"/>
      <c r="AF476" s="1133"/>
      <c r="AG476" s="1133"/>
    </row>
    <row r="477" spans="1:33" s="1150" customFormat="1" ht="30.6" customHeight="1">
      <c r="A477" s="1130"/>
      <c r="B477" s="1130"/>
      <c r="C477" s="1115" t="s">
        <v>65</v>
      </c>
      <c r="D477" s="1115" t="s">
        <v>65</v>
      </c>
      <c r="E477" s="1115" t="s">
        <v>66</v>
      </c>
      <c r="F477" s="1115" t="s">
        <v>65</v>
      </c>
      <c r="G477" s="1115"/>
      <c r="H477" s="1130"/>
      <c r="I477" s="1116"/>
      <c r="J477" s="1117"/>
      <c r="K477" s="1876">
        <v>72</v>
      </c>
      <c r="L477" s="1866">
        <f>L478+L480+L482+L484+L486+L488+L490+L492+L494+L496+L498+L500+L502+L504</f>
        <v>13206973616</v>
      </c>
      <c r="M477" s="1876">
        <v>24</v>
      </c>
      <c r="N477" s="1146">
        <f>N478+N480+N482+N484+N486+N488+N490+N492+N494+N496+N498+N500+N502+N504</f>
        <v>0</v>
      </c>
      <c r="O477" s="1876">
        <v>12</v>
      </c>
      <c r="P477" s="1147">
        <f>P478+P480+P482+P484+P486+P488+P490+P492+P494+P496+P498+P500+P502+P504</f>
        <v>1069453000</v>
      </c>
      <c r="Q477" s="1876">
        <v>3</v>
      </c>
      <c r="R477" s="1122">
        <f>R478+R480+R482+R484+R486+R488+R490+R492+R494+R496+R498+R500+R502+R504</f>
        <v>133863700</v>
      </c>
      <c r="S477" s="1865"/>
      <c r="T477" s="1864"/>
      <c r="U477" s="1865"/>
      <c r="V477" s="1865"/>
      <c r="W477" s="1865"/>
      <c r="X477" s="1122"/>
      <c r="Y477" s="1126">
        <f>Q477+S477+U477+W477</f>
        <v>3</v>
      </c>
      <c r="Z477" s="1875">
        <f>R477+T477+V477+X477</f>
        <v>133863700</v>
      </c>
      <c r="AA477" s="1121">
        <f>M477+Y477</f>
        <v>27</v>
      </c>
      <c r="AB477" s="1864">
        <f>Z477+N477</f>
        <v>133863700</v>
      </c>
      <c r="AC477" s="1121">
        <f>AA477/K477*100</f>
        <v>37.5</v>
      </c>
      <c r="AD477" s="1121">
        <f>AB477/L477*100</f>
        <v>1.0135834589525237</v>
      </c>
      <c r="AE477" s="1861"/>
      <c r="AF477" s="1148"/>
      <c r="AG477" s="1149"/>
    </row>
    <row r="478" spans="1:33" s="1150" customFormat="1" ht="27" customHeight="1">
      <c r="A478" s="1130"/>
      <c r="B478" s="1130"/>
      <c r="C478" s="1115" t="s">
        <v>65</v>
      </c>
      <c r="D478" s="1115" t="s">
        <v>66</v>
      </c>
      <c r="E478" s="1115" t="s">
        <v>66</v>
      </c>
      <c r="F478" s="1115" t="s">
        <v>65</v>
      </c>
      <c r="G478" s="1115"/>
      <c r="H478" s="1132" t="s">
        <v>165</v>
      </c>
      <c r="I478" s="2438" t="s">
        <v>1554</v>
      </c>
      <c r="J478" s="1135" t="s">
        <v>1555</v>
      </c>
      <c r="K478" s="2439">
        <v>72</v>
      </c>
      <c r="L478" s="2411">
        <v>732991008</v>
      </c>
      <c r="M478" s="2406">
        <v>24</v>
      </c>
      <c r="N478" s="2415">
        <v>0</v>
      </c>
      <c r="O478" s="2406">
        <v>12</v>
      </c>
      <c r="P478" s="2423">
        <v>127060000</v>
      </c>
      <c r="Q478" s="2412">
        <v>3</v>
      </c>
      <c r="R478" s="2440">
        <v>21293400</v>
      </c>
      <c r="S478" s="2412"/>
      <c r="T478" s="2424"/>
      <c r="U478" s="2426"/>
      <c r="V478" s="2406"/>
      <c r="W478" s="2421"/>
      <c r="X478" s="2411"/>
      <c r="Y478" s="2422">
        <f>Q478+S478+U478+W478</f>
        <v>3</v>
      </c>
      <c r="Z478" s="2411">
        <f>R478+T478+V478+X478</f>
        <v>21293400</v>
      </c>
      <c r="AA478" s="2406">
        <f>M478+Y478</f>
        <v>27</v>
      </c>
      <c r="AB478" s="2407">
        <f>N478+Z478</f>
        <v>21293400</v>
      </c>
      <c r="AC478" s="2406">
        <f>AA478/K478*100</f>
        <v>37.5</v>
      </c>
      <c r="AD478" s="2411">
        <f>AB478/L478*100</f>
        <v>2.9050015303871231</v>
      </c>
      <c r="AE478" s="2436" t="s">
        <v>1523</v>
      </c>
      <c r="AF478" s="1149"/>
      <c r="AG478" s="1149"/>
    </row>
    <row r="479" spans="1:33" s="1151" customFormat="1" ht="28.5" customHeight="1">
      <c r="A479" s="1117"/>
      <c r="B479" s="1117"/>
      <c r="C479" s="1117"/>
      <c r="D479" s="1117"/>
      <c r="E479" s="1117"/>
      <c r="F479" s="1117"/>
      <c r="G479" s="1117"/>
      <c r="H479" s="1117"/>
      <c r="I479" s="2438"/>
      <c r="J479" s="1135" t="s">
        <v>1556</v>
      </c>
      <c r="K479" s="2439"/>
      <c r="L479" s="2411"/>
      <c r="M479" s="2406"/>
      <c r="N479" s="2415"/>
      <c r="O479" s="2406"/>
      <c r="P479" s="2423"/>
      <c r="Q479" s="2412"/>
      <c r="R479" s="2440"/>
      <c r="S479" s="2412"/>
      <c r="T479" s="2424"/>
      <c r="U479" s="2412"/>
      <c r="V479" s="2406"/>
      <c r="W479" s="2412"/>
      <c r="X479" s="2411"/>
      <c r="Y479" s="2422"/>
      <c r="Z479" s="2411"/>
      <c r="AA479" s="2406"/>
      <c r="AB479" s="2407"/>
      <c r="AC479" s="2406"/>
      <c r="AD479" s="2411"/>
      <c r="AE479" s="2436"/>
      <c r="AF479" s="1148"/>
      <c r="AG479" s="1148"/>
    </row>
    <row r="480" spans="1:33" s="1150" customFormat="1" ht="26.1" customHeight="1">
      <c r="A480" s="1130"/>
      <c r="B480" s="1130"/>
      <c r="C480" s="1115" t="s">
        <v>65</v>
      </c>
      <c r="D480" s="1115" t="s">
        <v>66</v>
      </c>
      <c r="E480" s="1115" t="s">
        <v>66</v>
      </c>
      <c r="F480" s="1115" t="s">
        <v>65</v>
      </c>
      <c r="G480" s="1115"/>
      <c r="H480" s="1132" t="s">
        <v>201</v>
      </c>
      <c r="I480" s="2438" t="s">
        <v>1557</v>
      </c>
      <c r="J480" s="1135" t="s">
        <v>1558</v>
      </c>
      <c r="K480" s="2406">
        <v>72</v>
      </c>
      <c r="L480" s="2411">
        <v>732991008</v>
      </c>
      <c r="M480" s="2406">
        <v>24</v>
      </c>
      <c r="N480" s="2415">
        <v>0</v>
      </c>
      <c r="O480" s="2406">
        <v>12</v>
      </c>
      <c r="P480" s="2423">
        <v>102895800</v>
      </c>
      <c r="Q480" s="2412">
        <v>3</v>
      </c>
      <c r="R480" s="2411">
        <v>89870700</v>
      </c>
      <c r="S480" s="2412"/>
      <c r="T480" s="2424"/>
      <c r="U480" s="2426"/>
      <c r="V480" s="2407"/>
      <c r="W480" s="2412" t="s">
        <v>228</v>
      </c>
      <c r="X480" s="2411"/>
      <c r="Y480" s="2422">
        <v>3</v>
      </c>
      <c r="Z480" s="2411">
        <f>R480+T480+V480+X480</f>
        <v>89870700</v>
      </c>
      <c r="AA480" s="2406">
        <f>M480+Y480</f>
        <v>27</v>
      </c>
      <c r="AB480" s="2407">
        <f>N480+Z480</f>
        <v>89870700</v>
      </c>
      <c r="AC480" s="2406">
        <f>AA480/K480*100</f>
        <v>37.5</v>
      </c>
      <c r="AD480" s="2411">
        <f>AB480/L480*100</f>
        <v>12.260818893974754</v>
      </c>
      <c r="AE480" s="2412" t="s">
        <v>1523</v>
      </c>
      <c r="AF480" s="1149"/>
      <c r="AG480" s="1149"/>
    </row>
    <row r="481" spans="1:33" s="1150" customFormat="1" ht="23.45" customHeight="1">
      <c r="A481" s="1130"/>
      <c r="B481" s="1130"/>
      <c r="C481" s="1117"/>
      <c r="D481" s="1117"/>
      <c r="E481" s="1117"/>
      <c r="F481" s="1117"/>
      <c r="G481" s="1117"/>
      <c r="H481" s="1130"/>
      <c r="I481" s="2438"/>
      <c r="J481" s="1135" t="s">
        <v>1559</v>
      </c>
      <c r="K481" s="2406"/>
      <c r="L481" s="2411"/>
      <c r="M481" s="2406"/>
      <c r="N481" s="2415"/>
      <c r="O481" s="2406"/>
      <c r="P481" s="2423"/>
      <c r="Q481" s="2412"/>
      <c r="R481" s="2411"/>
      <c r="S481" s="2412"/>
      <c r="T481" s="2424"/>
      <c r="U481" s="2412"/>
      <c r="V481" s="2412"/>
      <c r="W481" s="2412"/>
      <c r="X481" s="2411"/>
      <c r="Y481" s="2422"/>
      <c r="Z481" s="2411"/>
      <c r="AA481" s="2406"/>
      <c r="AB481" s="2407"/>
      <c r="AC481" s="2406"/>
      <c r="AD481" s="2411"/>
      <c r="AE481" s="2412"/>
      <c r="AF481" s="1149"/>
      <c r="AG481" s="1149"/>
    </row>
    <row r="482" spans="1:33" s="1150" customFormat="1" ht="29.1" customHeight="1">
      <c r="A482" s="1130"/>
      <c r="B482" s="1130"/>
      <c r="C482" s="1115" t="s">
        <v>65</v>
      </c>
      <c r="D482" s="1115" t="s">
        <v>66</v>
      </c>
      <c r="E482" s="1115" t="s">
        <v>66</v>
      </c>
      <c r="F482" s="1115" t="s">
        <v>65</v>
      </c>
      <c r="G482" s="1115"/>
      <c r="H482" s="1132" t="s">
        <v>178</v>
      </c>
      <c r="I482" s="1879" t="s">
        <v>1560</v>
      </c>
      <c r="J482" s="1135" t="s">
        <v>1561</v>
      </c>
      <c r="K482" s="1858">
        <v>72</v>
      </c>
      <c r="L482" s="1859">
        <v>136499400</v>
      </c>
      <c r="M482" s="1858">
        <v>24</v>
      </c>
      <c r="N482" s="1870">
        <v>0</v>
      </c>
      <c r="O482" s="1858">
        <v>12</v>
      </c>
      <c r="P482" s="1872">
        <v>23400000</v>
      </c>
      <c r="Q482" s="1860">
        <v>3</v>
      </c>
      <c r="R482" s="1859">
        <v>10275000</v>
      </c>
      <c r="S482" s="1135"/>
      <c r="T482" s="1141"/>
      <c r="U482" s="1135"/>
      <c r="V482" s="1143"/>
      <c r="W482" s="1144"/>
      <c r="X482" s="1145"/>
      <c r="Y482" s="2422">
        <f>Q482+S482+U482+W482</f>
        <v>3</v>
      </c>
      <c r="Z482" s="2411">
        <f>R482+T482+V482+X482</f>
        <v>10275000</v>
      </c>
      <c r="AA482" s="2406">
        <v>27</v>
      </c>
      <c r="AB482" s="2407">
        <f>N482+Z482</f>
        <v>10275000</v>
      </c>
      <c r="AC482" s="2406">
        <f>AA482/K482*100</f>
        <v>37.5</v>
      </c>
      <c r="AD482" s="2411">
        <f>AB482/L482*100</f>
        <v>7.5275056154092983</v>
      </c>
      <c r="AE482" s="2412" t="s">
        <v>1523</v>
      </c>
      <c r="AF482" s="1149"/>
      <c r="AG482" s="1149"/>
    </row>
    <row r="483" spans="1:33" s="1150" customFormat="1" ht="28.5" customHeight="1">
      <c r="A483" s="1130"/>
      <c r="B483" s="1130"/>
      <c r="C483" s="1130"/>
      <c r="D483" s="1130"/>
      <c r="E483" s="1130"/>
      <c r="F483" s="1130"/>
      <c r="G483" s="1130"/>
      <c r="H483" s="1130"/>
      <c r="I483" s="1879"/>
      <c r="J483" s="1135" t="s">
        <v>1562</v>
      </c>
      <c r="K483" s="1858"/>
      <c r="L483" s="1859"/>
      <c r="M483" s="1858"/>
      <c r="N483" s="1870"/>
      <c r="O483" s="1858"/>
      <c r="P483" s="1872"/>
      <c r="Q483" s="1860"/>
      <c r="R483" s="1859"/>
      <c r="S483" s="1135"/>
      <c r="T483" s="1141"/>
      <c r="U483" s="1135"/>
      <c r="V483" s="1135"/>
      <c r="W483" s="1135"/>
      <c r="X483" s="1145"/>
      <c r="Y483" s="2422"/>
      <c r="Z483" s="2411"/>
      <c r="AA483" s="2406"/>
      <c r="AB483" s="2407"/>
      <c r="AC483" s="2406"/>
      <c r="AD483" s="2411"/>
      <c r="AE483" s="2412"/>
      <c r="AF483" s="1149"/>
      <c r="AG483" s="1149"/>
    </row>
    <row r="484" spans="1:33" s="1151" customFormat="1" ht="27.6" customHeight="1">
      <c r="A484" s="1117"/>
      <c r="B484" s="1117"/>
      <c r="C484" s="1115" t="s">
        <v>65</v>
      </c>
      <c r="D484" s="1115" t="s">
        <v>65</v>
      </c>
      <c r="E484" s="1115" t="s">
        <v>66</v>
      </c>
      <c r="F484" s="1115" t="s">
        <v>65</v>
      </c>
      <c r="G484" s="1115"/>
      <c r="H484" s="1115" t="s">
        <v>202</v>
      </c>
      <c r="I484" s="2438" t="s">
        <v>1563</v>
      </c>
      <c r="J484" s="1135" t="s">
        <v>1564</v>
      </c>
      <c r="K484" s="2406">
        <v>24</v>
      </c>
      <c r="L484" s="2411">
        <v>127105000</v>
      </c>
      <c r="M484" s="2406">
        <v>24</v>
      </c>
      <c r="N484" s="2415">
        <v>0</v>
      </c>
      <c r="O484" s="2406">
        <v>0</v>
      </c>
      <c r="P484" s="2423">
        <v>0</v>
      </c>
      <c r="Q484" s="2412">
        <v>0</v>
      </c>
      <c r="R484" s="2411">
        <v>0</v>
      </c>
      <c r="S484" s="2412"/>
      <c r="T484" s="2407"/>
      <c r="U484" s="2421"/>
      <c r="V484" s="2407"/>
      <c r="W484" s="2421"/>
      <c r="X484" s="2411"/>
      <c r="Y484" s="2422">
        <f>Q484+S484+U484+W484</f>
        <v>0</v>
      </c>
      <c r="Z484" s="2411">
        <f>R484+T484+V484+X484</f>
        <v>0</v>
      </c>
      <c r="AA484" s="2406">
        <v>27</v>
      </c>
      <c r="AB484" s="2407">
        <f>N484+Z484</f>
        <v>0</v>
      </c>
      <c r="AC484" s="2406">
        <f>AA484/K484*100</f>
        <v>112.5</v>
      </c>
      <c r="AD484" s="2411">
        <f>AB484/L484*100</f>
        <v>0</v>
      </c>
      <c r="AE484" s="2412" t="s">
        <v>1523</v>
      </c>
      <c r="AF484" s="1148"/>
      <c r="AG484" s="1148"/>
    </row>
    <row r="485" spans="1:33" s="1150" customFormat="1" ht="21.95" customHeight="1">
      <c r="A485" s="1130"/>
      <c r="B485" s="1130"/>
      <c r="C485" s="1130"/>
      <c r="D485" s="1130"/>
      <c r="E485" s="1130"/>
      <c r="F485" s="1130"/>
      <c r="G485" s="1130"/>
      <c r="H485" s="1130"/>
      <c r="I485" s="2438"/>
      <c r="J485" s="1135" t="s">
        <v>1565</v>
      </c>
      <c r="K485" s="2406"/>
      <c r="L485" s="2411"/>
      <c r="M485" s="2406"/>
      <c r="N485" s="2415"/>
      <c r="O485" s="2406"/>
      <c r="P485" s="2423"/>
      <c r="Q485" s="2412"/>
      <c r="R485" s="2411"/>
      <c r="S485" s="2412"/>
      <c r="T485" s="2407"/>
      <c r="U485" s="2412"/>
      <c r="V485" s="2412"/>
      <c r="W485" s="2412"/>
      <c r="X485" s="2411"/>
      <c r="Y485" s="2422"/>
      <c r="Z485" s="2411"/>
      <c r="AA485" s="2406"/>
      <c r="AB485" s="2407"/>
      <c r="AC485" s="2406"/>
      <c r="AD485" s="2411"/>
      <c r="AE485" s="2412"/>
      <c r="AF485" s="1149"/>
      <c r="AG485" s="1149"/>
    </row>
    <row r="486" spans="1:33" s="1150" customFormat="1" ht="26.1" customHeight="1">
      <c r="A486" s="1130"/>
      <c r="B486" s="1130"/>
      <c r="C486" s="1115" t="s">
        <v>65</v>
      </c>
      <c r="D486" s="1115" t="s">
        <v>66</v>
      </c>
      <c r="E486" s="1115" t="s">
        <v>66</v>
      </c>
      <c r="F486" s="1115" t="s">
        <v>65</v>
      </c>
      <c r="G486" s="1115"/>
      <c r="H486" s="1132" t="s">
        <v>163</v>
      </c>
      <c r="I486" s="1879" t="s">
        <v>1566</v>
      </c>
      <c r="J486" s="1135" t="s">
        <v>1561</v>
      </c>
      <c r="K486" s="2406">
        <v>72</v>
      </c>
      <c r="L486" s="2411">
        <v>796867700</v>
      </c>
      <c r="M486" s="2406">
        <v>24</v>
      </c>
      <c r="N486" s="2415">
        <v>0</v>
      </c>
      <c r="O486" s="2406">
        <v>12</v>
      </c>
      <c r="P486" s="2423">
        <v>126867700</v>
      </c>
      <c r="Q486" s="2412">
        <v>3</v>
      </c>
      <c r="R486" s="2411">
        <v>12424600</v>
      </c>
      <c r="S486" s="1135"/>
      <c r="T486" s="1141"/>
      <c r="U486" s="1144"/>
      <c r="V486" s="1143"/>
      <c r="W486" s="1135"/>
      <c r="X486" s="1145"/>
      <c r="Y486" s="2422">
        <f>Q486+S486+U486+W486</f>
        <v>3</v>
      </c>
      <c r="Z486" s="2411">
        <f>R486+T486+V486+X486</f>
        <v>12424600</v>
      </c>
      <c r="AA486" s="2406">
        <f>M486+Y486</f>
        <v>27</v>
      </c>
      <c r="AB486" s="2407">
        <f>N486+Z486</f>
        <v>12424600</v>
      </c>
      <c r="AC486" s="2406">
        <f>AA486/K486*100</f>
        <v>37.5</v>
      </c>
      <c r="AD486" s="2411">
        <f>AB486/L486*100</f>
        <v>1.5591797735056898</v>
      </c>
      <c r="AE486" s="2412" t="s">
        <v>1523</v>
      </c>
      <c r="AF486" s="1149"/>
      <c r="AG486" s="1149"/>
    </row>
    <row r="487" spans="1:33" s="1150" customFormat="1" ht="25.5" customHeight="1">
      <c r="A487" s="1130"/>
      <c r="B487" s="1130"/>
      <c r="C487" s="1130"/>
      <c r="D487" s="1130"/>
      <c r="E487" s="1130"/>
      <c r="F487" s="1130"/>
      <c r="G487" s="1130"/>
      <c r="H487" s="1130"/>
      <c r="I487" s="1879"/>
      <c r="J487" s="1135" t="s">
        <v>1567</v>
      </c>
      <c r="K487" s="2406"/>
      <c r="L487" s="2411"/>
      <c r="M487" s="2406"/>
      <c r="N487" s="2415"/>
      <c r="O487" s="2406"/>
      <c r="P487" s="2423"/>
      <c r="Q487" s="2412"/>
      <c r="R487" s="2411"/>
      <c r="S487" s="1135"/>
      <c r="T487" s="1141"/>
      <c r="U487" s="1135"/>
      <c r="V487" s="1135"/>
      <c r="W487" s="1135"/>
      <c r="X487" s="1145"/>
      <c r="Y487" s="2422"/>
      <c r="Z487" s="2411"/>
      <c r="AA487" s="2406"/>
      <c r="AB487" s="2407"/>
      <c r="AC487" s="2406"/>
      <c r="AD487" s="2411"/>
      <c r="AE487" s="2412"/>
      <c r="AF487" s="1149"/>
      <c r="AG487" s="1149"/>
    </row>
    <row r="488" spans="1:33" s="1150" customFormat="1" ht="26.45" customHeight="1">
      <c r="A488" s="1130"/>
      <c r="B488" s="1130"/>
      <c r="C488" s="1115" t="s">
        <v>65</v>
      </c>
      <c r="D488" s="1115" t="s">
        <v>66</v>
      </c>
      <c r="E488" s="1115" t="s">
        <v>66</v>
      </c>
      <c r="F488" s="1115" t="s">
        <v>65</v>
      </c>
      <c r="G488" s="1115"/>
      <c r="H488" s="1115" t="s">
        <v>164</v>
      </c>
      <c r="I488" s="2442" t="s">
        <v>1568</v>
      </c>
      <c r="J488" s="1880" t="s">
        <v>1569</v>
      </c>
      <c r="K488" s="1858">
        <v>12</v>
      </c>
      <c r="L488" s="1859">
        <v>720729500</v>
      </c>
      <c r="M488" s="1858">
        <v>12</v>
      </c>
      <c r="N488" s="1859">
        <v>0</v>
      </c>
      <c r="O488" s="1858">
        <v>12</v>
      </c>
      <c r="P488" s="1872">
        <v>689229500</v>
      </c>
      <c r="Q488" s="1858">
        <v>0</v>
      </c>
      <c r="R488" s="1878">
        <v>0</v>
      </c>
      <c r="S488" s="1860"/>
      <c r="T488" s="1867"/>
      <c r="U488" s="1860"/>
      <c r="V488" s="1860"/>
      <c r="W488" s="1860"/>
      <c r="X488" s="1859"/>
      <c r="Y488" s="1868">
        <f>Q488+S488+U488+W488</f>
        <v>0</v>
      </c>
      <c r="Z488" s="2411">
        <f>R488+T488+V488+X488</f>
        <v>0</v>
      </c>
      <c r="AA488" s="1858">
        <f>M488+Y488</f>
        <v>12</v>
      </c>
      <c r="AB488" s="1857">
        <f>N488+Z488</f>
        <v>0</v>
      </c>
      <c r="AC488" s="1858">
        <f>AA488/K488*100</f>
        <v>100</v>
      </c>
      <c r="AD488" s="1859">
        <f>AB488/L488*100</f>
        <v>0</v>
      </c>
      <c r="AE488" s="1135" t="s">
        <v>1523</v>
      </c>
      <c r="AF488" s="1149"/>
      <c r="AG488" s="1149"/>
    </row>
    <row r="489" spans="1:33" s="1150" customFormat="1" ht="25.5" customHeight="1">
      <c r="A489" s="1130"/>
      <c r="B489" s="1130"/>
      <c r="C489" s="1130"/>
      <c r="D489" s="1130"/>
      <c r="E489" s="1130"/>
      <c r="F489" s="1130"/>
      <c r="G489" s="1130"/>
      <c r="H489" s="1130"/>
      <c r="I489" s="2442"/>
      <c r="J489" s="1135" t="s">
        <v>1570</v>
      </c>
      <c r="K489" s="1152"/>
      <c r="L489" s="1145"/>
      <c r="M489" s="1152"/>
      <c r="N489" s="1145"/>
      <c r="O489" s="1152"/>
      <c r="P489" s="1153"/>
      <c r="Q489" s="1152"/>
      <c r="R489" s="1154"/>
      <c r="S489" s="1135"/>
      <c r="T489" s="1867"/>
      <c r="U489" s="1860"/>
      <c r="V489" s="1860"/>
      <c r="W489" s="1860"/>
      <c r="X489" s="1859"/>
      <c r="Y489" s="1868"/>
      <c r="Z489" s="2411"/>
      <c r="AA489" s="1152"/>
      <c r="AB489" s="1143"/>
      <c r="AC489" s="1152"/>
      <c r="AD489" s="1145"/>
      <c r="AE489" s="1135"/>
      <c r="AF489" s="1149"/>
      <c r="AG489" s="1149"/>
    </row>
    <row r="490" spans="1:33" s="1150" customFormat="1" ht="25.5" customHeight="1">
      <c r="A490" s="1130"/>
      <c r="B490" s="1130"/>
      <c r="C490" s="1130"/>
      <c r="D490" s="1130"/>
      <c r="E490" s="1130"/>
      <c r="F490" s="1130"/>
      <c r="G490" s="1130"/>
      <c r="H490" s="1130"/>
      <c r="I490" s="2442" t="s">
        <v>1571</v>
      </c>
      <c r="J490" s="1135" t="s">
        <v>1572</v>
      </c>
      <c r="K490" s="2406">
        <v>36</v>
      </c>
      <c r="L490" s="2411">
        <v>8275000000</v>
      </c>
      <c r="M490" s="2406">
        <v>0</v>
      </c>
      <c r="N490" s="2411">
        <v>0</v>
      </c>
      <c r="O490" s="2406">
        <v>0</v>
      </c>
      <c r="P490" s="2423">
        <v>0</v>
      </c>
      <c r="Q490" s="2406">
        <v>0</v>
      </c>
      <c r="R490" s="2441">
        <v>0</v>
      </c>
      <c r="S490" s="2412"/>
      <c r="T490" s="2424"/>
      <c r="U490" s="2412"/>
      <c r="V490" s="2412"/>
      <c r="W490" s="2412"/>
      <c r="X490" s="1859"/>
      <c r="Y490" s="2422">
        <f>Q490+S490+U490+W490</f>
        <v>0</v>
      </c>
      <c r="Z490" s="2411">
        <f>R490+T490+V490+X490</f>
        <v>0</v>
      </c>
      <c r="AA490" s="2406">
        <f>M490+Y490</f>
        <v>0</v>
      </c>
      <c r="AB490" s="2407">
        <f>N490+Z490</f>
        <v>0</v>
      </c>
      <c r="AC490" s="2406">
        <f>AA490/K490*100</f>
        <v>0</v>
      </c>
      <c r="AD490" s="2411">
        <f>AB490/L490*100</f>
        <v>0</v>
      </c>
      <c r="AE490" s="2412" t="s">
        <v>1523</v>
      </c>
      <c r="AF490" s="1149"/>
      <c r="AG490" s="1149"/>
    </row>
    <row r="491" spans="1:33" s="1150" customFormat="1" ht="25.5" customHeight="1">
      <c r="A491" s="1130"/>
      <c r="B491" s="1130"/>
      <c r="C491" s="1130"/>
      <c r="D491" s="1130"/>
      <c r="E491" s="1130"/>
      <c r="F491" s="1130"/>
      <c r="G491" s="1130"/>
      <c r="H491" s="1130"/>
      <c r="I491" s="2442"/>
      <c r="J491" s="1135" t="s">
        <v>1573</v>
      </c>
      <c r="K491" s="2406"/>
      <c r="L491" s="2411"/>
      <c r="M491" s="2406"/>
      <c r="N491" s="2411"/>
      <c r="O491" s="2406"/>
      <c r="P491" s="2423"/>
      <c r="Q491" s="2406"/>
      <c r="R491" s="2441"/>
      <c r="S491" s="2412"/>
      <c r="T491" s="2424"/>
      <c r="U491" s="2412"/>
      <c r="V491" s="2412"/>
      <c r="W491" s="2412"/>
      <c r="X491" s="1859"/>
      <c r="Y491" s="2422"/>
      <c r="Z491" s="2411"/>
      <c r="AA491" s="2406"/>
      <c r="AB491" s="2407"/>
      <c r="AC491" s="2406"/>
      <c r="AD491" s="2411"/>
      <c r="AE491" s="2412"/>
      <c r="AF491" s="1149"/>
      <c r="AG491" s="1149"/>
    </row>
    <row r="492" spans="1:33" s="1150" customFormat="1" ht="33" customHeight="1">
      <c r="A492" s="1130"/>
      <c r="B492" s="1130"/>
      <c r="C492" s="1130"/>
      <c r="D492" s="1130"/>
      <c r="E492" s="1130"/>
      <c r="F492" s="1130"/>
      <c r="G492" s="1130"/>
      <c r="H492" s="1130"/>
      <c r="I492" s="2442" t="s">
        <v>1574</v>
      </c>
      <c r="J492" s="1135" t="s">
        <v>1575</v>
      </c>
      <c r="K492" s="2406">
        <v>36</v>
      </c>
      <c r="L492" s="2411">
        <v>248250000</v>
      </c>
      <c r="M492" s="2406">
        <v>0</v>
      </c>
      <c r="N492" s="2411">
        <v>0</v>
      </c>
      <c r="O492" s="2406">
        <v>0</v>
      </c>
      <c r="P492" s="2423">
        <v>0</v>
      </c>
      <c r="Q492" s="2406">
        <v>0</v>
      </c>
      <c r="R492" s="2441">
        <v>0</v>
      </c>
      <c r="S492" s="2412"/>
      <c r="T492" s="2424"/>
      <c r="U492" s="2412"/>
      <c r="V492" s="1860"/>
      <c r="W492" s="1860"/>
      <c r="X492" s="1859"/>
      <c r="Y492" s="2422">
        <f>Q492+S492+U492+W492</f>
        <v>0</v>
      </c>
      <c r="Z492" s="2411">
        <f>R492+T492+V492+X492</f>
        <v>0</v>
      </c>
      <c r="AA492" s="2406">
        <f>M492+Y492</f>
        <v>0</v>
      </c>
      <c r="AB492" s="2407">
        <f>N492+Z492</f>
        <v>0</v>
      </c>
      <c r="AC492" s="2406">
        <f>AA492/K492*100</f>
        <v>0</v>
      </c>
      <c r="AD492" s="2411">
        <f>AB492/L492*100</f>
        <v>0</v>
      </c>
      <c r="AE492" s="2412" t="s">
        <v>1523</v>
      </c>
      <c r="AF492" s="1149"/>
      <c r="AG492" s="1149"/>
    </row>
    <row r="493" spans="1:33" s="1150" customFormat="1" ht="25.5" customHeight="1">
      <c r="A493" s="1130"/>
      <c r="B493" s="1130"/>
      <c r="C493" s="1130"/>
      <c r="D493" s="1130"/>
      <c r="E493" s="1130"/>
      <c r="F493" s="1130"/>
      <c r="G493" s="1130"/>
      <c r="H493" s="1130"/>
      <c r="I493" s="2442"/>
      <c r="J493" s="1135" t="s">
        <v>1576</v>
      </c>
      <c r="K493" s="2406"/>
      <c r="L493" s="2411"/>
      <c r="M493" s="2406"/>
      <c r="N493" s="2411"/>
      <c r="O493" s="2406"/>
      <c r="P493" s="2423"/>
      <c r="Q493" s="2406"/>
      <c r="R493" s="2441"/>
      <c r="S493" s="2412"/>
      <c r="T493" s="2424"/>
      <c r="U493" s="2412"/>
      <c r="V493" s="1860"/>
      <c r="W493" s="1860"/>
      <c r="X493" s="1859"/>
      <c r="Y493" s="2422"/>
      <c r="Z493" s="2411"/>
      <c r="AA493" s="2406"/>
      <c r="AB493" s="2407"/>
      <c r="AC493" s="2406"/>
      <c r="AD493" s="2411"/>
      <c r="AE493" s="2412"/>
      <c r="AF493" s="1149"/>
      <c r="AG493" s="1149"/>
    </row>
    <row r="494" spans="1:33" s="1150" customFormat="1" ht="28.5" customHeight="1">
      <c r="A494" s="1130"/>
      <c r="B494" s="1130"/>
      <c r="C494" s="1130"/>
      <c r="D494" s="1130"/>
      <c r="E494" s="1130"/>
      <c r="F494" s="1130"/>
      <c r="G494" s="1130"/>
      <c r="H494" s="1130"/>
      <c r="I494" s="1879" t="s">
        <v>773</v>
      </c>
      <c r="J494" s="1135" t="s">
        <v>1577</v>
      </c>
      <c r="K494" s="1155">
        <v>36</v>
      </c>
      <c r="L494" s="1859">
        <v>157225000</v>
      </c>
      <c r="M494" s="1858">
        <v>0</v>
      </c>
      <c r="N494" s="1859">
        <v>0</v>
      </c>
      <c r="O494" s="1859">
        <v>0</v>
      </c>
      <c r="P494" s="1872">
        <v>0</v>
      </c>
      <c r="Q494" s="1858">
        <v>0</v>
      </c>
      <c r="R494" s="1878">
        <v>0</v>
      </c>
      <c r="S494" s="2412"/>
      <c r="T494" s="2424"/>
      <c r="U494" s="1860"/>
      <c r="V494" s="1860"/>
      <c r="W494" s="1860"/>
      <c r="X494" s="1859"/>
      <c r="Y494" s="1868">
        <f>Q494+S494+U494+W494</f>
        <v>0</v>
      </c>
      <c r="Z494" s="2411">
        <f>R494+T494+V494+X494</f>
        <v>0</v>
      </c>
      <c r="AA494" s="2411">
        <f>S494+U494+W494+Y494</f>
        <v>0</v>
      </c>
      <c r="AB494" s="2406">
        <f>N494+Z494</f>
        <v>0</v>
      </c>
      <c r="AC494" s="1152">
        <f>AA494/K494*100</f>
        <v>0</v>
      </c>
      <c r="AD494" s="1156">
        <f>AB494/L494*100</f>
        <v>0</v>
      </c>
      <c r="AE494" s="2412" t="s">
        <v>1523</v>
      </c>
      <c r="AF494" s="1149"/>
      <c r="AG494" s="1149"/>
    </row>
    <row r="495" spans="1:33" s="1150" customFormat="1" ht="25.5" customHeight="1">
      <c r="A495" s="1130"/>
      <c r="B495" s="1130"/>
      <c r="C495" s="1130"/>
      <c r="D495" s="1130"/>
      <c r="E495" s="1130"/>
      <c r="F495" s="1130"/>
      <c r="G495" s="1130"/>
      <c r="H495" s="1130"/>
      <c r="I495" s="1879"/>
      <c r="J495" s="1135" t="s">
        <v>1578</v>
      </c>
      <c r="K495" s="1152"/>
      <c r="L495" s="1145"/>
      <c r="M495" s="1152"/>
      <c r="N495" s="1145"/>
      <c r="O495" s="1145"/>
      <c r="P495" s="1153"/>
      <c r="Q495" s="1152"/>
      <c r="R495" s="1154"/>
      <c r="S495" s="2412"/>
      <c r="T495" s="2424"/>
      <c r="U495" s="1860"/>
      <c r="V495" s="1860"/>
      <c r="W495" s="1860"/>
      <c r="X495" s="1859"/>
      <c r="Y495" s="1868"/>
      <c r="Z495" s="2411"/>
      <c r="AA495" s="2411"/>
      <c r="AB495" s="2406"/>
      <c r="AC495" s="1152"/>
      <c r="AD495" s="1145"/>
      <c r="AE495" s="2412"/>
      <c r="AF495" s="1149"/>
      <c r="AG495" s="1149"/>
    </row>
    <row r="496" spans="1:33" s="1150" customFormat="1" ht="25.5" customHeight="1">
      <c r="A496" s="1130"/>
      <c r="B496" s="1130"/>
      <c r="C496" s="1130"/>
      <c r="D496" s="1130"/>
      <c r="E496" s="1130"/>
      <c r="F496" s="1130"/>
      <c r="G496" s="1130"/>
      <c r="H496" s="1130"/>
      <c r="I496" s="2442" t="s">
        <v>1579</v>
      </c>
      <c r="J496" s="1135" t="s">
        <v>1580</v>
      </c>
      <c r="K496" s="2406">
        <v>36</v>
      </c>
      <c r="L496" s="2411">
        <v>119160000</v>
      </c>
      <c r="M496" s="2406">
        <v>0</v>
      </c>
      <c r="N496" s="2411">
        <v>0</v>
      </c>
      <c r="O496" s="2411"/>
      <c r="P496" s="2423">
        <v>0</v>
      </c>
      <c r="Q496" s="2406">
        <v>0</v>
      </c>
      <c r="R496" s="2441">
        <v>0</v>
      </c>
      <c r="S496" s="2412"/>
      <c r="T496" s="2424"/>
      <c r="U496" s="2412"/>
      <c r="V496" s="2412"/>
      <c r="W496" s="1860"/>
      <c r="X496" s="1859"/>
      <c r="Y496" s="2411">
        <f>Q496+S496+U496+W496</f>
        <v>0</v>
      </c>
      <c r="Z496" s="2411">
        <f>R496+T496+V496+X496</f>
        <v>0</v>
      </c>
      <c r="AA496" s="2406">
        <f>M496+Y496</f>
        <v>0</v>
      </c>
      <c r="AB496" s="2407">
        <f>N496+Z496</f>
        <v>0</v>
      </c>
      <c r="AC496" s="2406">
        <f>AA496/K496*100</f>
        <v>0</v>
      </c>
      <c r="AD496" s="2411">
        <f>AB496/L496*100</f>
        <v>0</v>
      </c>
      <c r="AE496" s="2412" t="s">
        <v>1523</v>
      </c>
      <c r="AF496" s="1149"/>
      <c r="AG496" s="1149"/>
    </row>
    <row r="497" spans="1:33" s="1150" customFormat="1" ht="25.5" customHeight="1">
      <c r="A497" s="1130"/>
      <c r="B497" s="1130"/>
      <c r="C497" s="1130"/>
      <c r="D497" s="1130"/>
      <c r="E497" s="1130"/>
      <c r="F497" s="1130"/>
      <c r="G497" s="1130"/>
      <c r="H497" s="1130"/>
      <c r="I497" s="2442"/>
      <c r="J497" s="1135" t="s">
        <v>1559</v>
      </c>
      <c r="K497" s="2406"/>
      <c r="L497" s="2411"/>
      <c r="M497" s="2406"/>
      <c r="N497" s="2411"/>
      <c r="O497" s="2411"/>
      <c r="P497" s="2423"/>
      <c r="Q497" s="2406"/>
      <c r="R497" s="2441"/>
      <c r="S497" s="2412"/>
      <c r="T497" s="2424"/>
      <c r="U497" s="2412"/>
      <c r="V497" s="2412"/>
      <c r="W497" s="1860"/>
      <c r="X497" s="1859"/>
      <c r="Y497" s="2411"/>
      <c r="Z497" s="2411"/>
      <c r="AA497" s="2406"/>
      <c r="AB497" s="2407"/>
      <c r="AC497" s="2406"/>
      <c r="AD497" s="2411"/>
      <c r="AE497" s="2412"/>
      <c r="AF497" s="1149"/>
      <c r="AG497" s="1149"/>
    </row>
    <row r="498" spans="1:33" s="1150" customFormat="1" ht="25.5" customHeight="1">
      <c r="A498" s="1130"/>
      <c r="B498" s="1130"/>
      <c r="C498" s="1130"/>
      <c r="D498" s="1130"/>
      <c r="E498" s="1130"/>
      <c r="F498" s="1130"/>
      <c r="G498" s="1130"/>
      <c r="H498" s="1130"/>
      <c r="I498" s="2442" t="s">
        <v>1581</v>
      </c>
      <c r="J498" s="1135" t="s">
        <v>1580</v>
      </c>
      <c r="K498" s="2406">
        <v>36</v>
      </c>
      <c r="L498" s="2411">
        <v>49650000</v>
      </c>
      <c r="M498" s="2406">
        <v>0</v>
      </c>
      <c r="N498" s="2411">
        <v>0</v>
      </c>
      <c r="O498" s="2411">
        <v>0</v>
      </c>
      <c r="P498" s="2423">
        <v>0</v>
      </c>
      <c r="Q498" s="2406">
        <v>0</v>
      </c>
      <c r="R498" s="2441">
        <v>0</v>
      </c>
      <c r="S498" s="2412"/>
      <c r="T498" s="2424"/>
      <c r="U498" s="1860"/>
      <c r="V498" s="1860"/>
      <c r="W498" s="1860"/>
      <c r="X498" s="1859"/>
      <c r="Y498" s="2411">
        <f>Q498+S498+U498+W498</f>
        <v>0</v>
      </c>
      <c r="Z498" s="2411">
        <f>R498+T498+V498+X498</f>
        <v>0</v>
      </c>
      <c r="AA498" s="2406">
        <f>M498+Y498</f>
        <v>0</v>
      </c>
      <c r="AB498" s="2407">
        <f>N498+Z498</f>
        <v>0</v>
      </c>
      <c r="AC498" s="2406">
        <f>AA498/K498*100</f>
        <v>0</v>
      </c>
      <c r="AD498" s="2411">
        <f>AB498/L498*100</f>
        <v>0</v>
      </c>
      <c r="AE498" s="2412" t="s">
        <v>1523</v>
      </c>
      <c r="AF498" s="1149"/>
      <c r="AG498" s="1149"/>
    </row>
    <row r="499" spans="1:33" s="1150" customFormat="1" ht="25.5" customHeight="1">
      <c r="A499" s="1130"/>
      <c r="B499" s="1130"/>
      <c r="C499" s="1130"/>
      <c r="D499" s="1130"/>
      <c r="E499" s="1130"/>
      <c r="F499" s="1130"/>
      <c r="G499" s="1130"/>
      <c r="H499" s="1130"/>
      <c r="I499" s="2442"/>
      <c r="J499" s="1135" t="s">
        <v>1582</v>
      </c>
      <c r="K499" s="2406"/>
      <c r="L499" s="2411"/>
      <c r="M499" s="2406"/>
      <c r="N499" s="2411"/>
      <c r="O499" s="2411"/>
      <c r="P499" s="2423"/>
      <c r="Q499" s="2406"/>
      <c r="R499" s="2441"/>
      <c r="S499" s="2412"/>
      <c r="T499" s="2424"/>
      <c r="U499" s="1860"/>
      <c r="V499" s="1860"/>
      <c r="W499" s="1860"/>
      <c r="X499" s="1859"/>
      <c r="Y499" s="2411"/>
      <c r="Z499" s="2411"/>
      <c r="AA499" s="2406"/>
      <c r="AB499" s="2407"/>
      <c r="AC499" s="2406"/>
      <c r="AD499" s="2411"/>
      <c r="AE499" s="2412"/>
      <c r="AF499" s="1149"/>
      <c r="AG499" s="1149"/>
    </row>
    <row r="500" spans="1:33" s="1150" customFormat="1" ht="25.5" customHeight="1">
      <c r="A500" s="1130"/>
      <c r="B500" s="1130"/>
      <c r="C500" s="1130"/>
      <c r="D500" s="1130"/>
      <c r="E500" s="1130"/>
      <c r="F500" s="1130"/>
      <c r="G500" s="1130"/>
      <c r="H500" s="1130"/>
      <c r="I500" s="2442" t="s">
        <v>1583</v>
      </c>
      <c r="J500" s="1135" t="s">
        <v>1584</v>
      </c>
      <c r="K500" s="2406">
        <v>36</v>
      </c>
      <c r="L500" s="2411">
        <v>31445000</v>
      </c>
      <c r="M500" s="2406">
        <v>0</v>
      </c>
      <c r="N500" s="2411">
        <v>0</v>
      </c>
      <c r="O500" s="2411">
        <v>0</v>
      </c>
      <c r="P500" s="2423">
        <v>0</v>
      </c>
      <c r="Q500" s="2406">
        <v>0</v>
      </c>
      <c r="R500" s="2441">
        <v>0</v>
      </c>
      <c r="S500" s="2412"/>
      <c r="T500" s="1867"/>
      <c r="U500" s="1860"/>
      <c r="V500" s="1860"/>
      <c r="W500" s="1860"/>
      <c r="X500" s="1859"/>
      <c r="Y500" s="2411">
        <f>Q500+S500+U500+W500</f>
        <v>0</v>
      </c>
      <c r="Z500" s="2411">
        <f>R500+T500+V500+X500</f>
        <v>0</v>
      </c>
      <c r="AA500" s="2406">
        <f>M500+Y500</f>
        <v>0</v>
      </c>
      <c r="AB500" s="2407">
        <f>N500+Z500</f>
        <v>0</v>
      </c>
      <c r="AC500" s="2406">
        <f>AA500/K500*100</f>
        <v>0</v>
      </c>
      <c r="AD500" s="2411">
        <f>AB500/L500*100</f>
        <v>0</v>
      </c>
      <c r="AE500" s="2412" t="s">
        <v>1523</v>
      </c>
      <c r="AF500" s="1149"/>
      <c r="AG500" s="1149"/>
    </row>
    <row r="501" spans="1:33" s="1150" customFormat="1" ht="25.5" customHeight="1">
      <c r="A501" s="1130"/>
      <c r="B501" s="1130"/>
      <c r="C501" s="1130"/>
      <c r="D501" s="1130"/>
      <c r="E501" s="1130"/>
      <c r="F501" s="1130"/>
      <c r="G501" s="1130"/>
      <c r="H501" s="1130"/>
      <c r="I501" s="2442"/>
      <c r="J501" s="1135" t="s">
        <v>1559</v>
      </c>
      <c r="K501" s="2406"/>
      <c r="L501" s="2411"/>
      <c r="M501" s="2406"/>
      <c r="N501" s="2411"/>
      <c r="O501" s="2411"/>
      <c r="P501" s="2423"/>
      <c r="Q501" s="2406"/>
      <c r="R501" s="2441"/>
      <c r="S501" s="2412"/>
      <c r="T501" s="1867"/>
      <c r="U501" s="1860"/>
      <c r="V501" s="1860"/>
      <c r="W501" s="1860"/>
      <c r="X501" s="1859"/>
      <c r="Y501" s="2411"/>
      <c r="Z501" s="2411"/>
      <c r="AA501" s="2406"/>
      <c r="AB501" s="2407"/>
      <c r="AC501" s="2406"/>
      <c r="AD501" s="2411"/>
      <c r="AE501" s="2412"/>
      <c r="AF501" s="1149"/>
      <c r="AG501" s="1149"/>
    </row>
    <row r="502" spans="1:33" s="1150" customFormat="1" ht="27.75" customHeight="1">
      <c r="A502" s="1130"/>
      <c r="B502" s="1130"/>
      <c r="C502" s="1130"/>
      <c r="D502" s="1130"/>
      <c r="E502" s="1130"/>
      <c r="F502" s="1130"/>
      <c r="G502" s="1130"/>
      <c r="H502" s="1130"/>
      <c r="I502" s="2442" t="s">
        <v>1585</v>
      </c>
      <c r="J502" s="1135" t="s">
        <v>1586</v>
      </c>
      <c r="K502" s="2406">
        <v>36</v>
      </c>
      <c r="L502" s="2411">
        <v>251560000</v>
      </c>
      <c r="M502" s="2406">
        <v>0</v>
      </c>
      <c r="N502" s="2411">
        <v>0</v>
      </c>
      <c r="O502" s="2406"/>
      <c r="P502" s="2423">
        <v>0</v>
      </c>
      <c r="Q502" s="2406">
        <v>0</v>
      </c>
      <c r="R502" s="2441">
        <v>0</v>
      </c>
      <c r="S502" s="2412"/>
      <c r="T502" s="1867"/>
      <c r="U502" s="1860"/>
      <c r="V502" s="1860"/>
      <c r="W502" s="1860"/>
      <c r="X502" s="1859"/>
      <c r="Y502" s="2411">
        <f>Q502+S502+U502+W502</f>
        <v>0</v>
      </c>
      <c r="Z502" s="2411">
        <f>R502+T502+V502+X502</f>
        <v>0</v>
      </c>
      <c r="AA502" s="2406">
        <f>M502+Y502</f>
        <v>0</v>
      </c>
      <c r="AB502" s="2407">
        <f>N502+Z502</f>
        <v>0</v>
      </c>
      <c r="AC502" s="2406">
        <f>AA502/K502*100</f>
        <v>0</v>
      </c>
      <c r="AD502" s="2411">
        <f>AB502/L502*100</f>
        <v>0</v>
      </c>
      <c r="AE502" s="2412" t="s">
        <v>1523</v>
      </c>
      <c r="AF502" s="1149"/>
      <c r="AG502" s="1149"/>
    </row>
    <row r="503" spans="1:33" s="1150" customFormat="1" ht="25.5" customHeight="1">
      <c r="A503" s="1130"/>
      <c r="B503" s="1130"/>
      <c r="C503" s="1130"/>
      <c r="D503" s="1130"/>
      <c r="E503" s="1130"/>
      <c r="F503" s="1130"/>
      <c r="G503" s="1130"/>
      <c r="H503" s="1130"/>
      <c r="I503" s="2442"/>
      <c r="J503" s="1135" t="s">
        <v>1587</v>
      </c>
      <c r="K503" s="2406"/>
      <c r="L503" s="2411"/>
      <c r="M503" s="2406"/>
      <c r="N503" s="2411"/>
      <c r="O503" s="2406"/>
      <c r="P503" s="2423"/>
      <c r="Q503" s="2406"/>
      <c r="R503" s="2441"/>
      <c r="S503" s="2412"/>
      <c r="T503" s="1867"/>
      <c r="U503" s="1860"/>
      <c r="V503" s="1860"/>
      <c r="W503" s="1860"/>
      <c r="X503" s="1859"/>
      <c r="Y503" s="2411"/>
      <c r="Z503" s="2411"/>
      <c r="AA503" s="2406"/>
      <c r="AB503" s="2407"/>
      <c r="AC503" s="2406"/>
      <c r="AD503" s="2411"/>
      <c r="AE503" s="2412"/>
      <c r="AF503" s="1149"/>
      <c r="AG503" s="1149"/>
    </row>
    <row r="504" spans="1:33" s="1150" customFormat="1" ht="25.5" customHeight="1">
      <c r="A504" s="1130"/>
      <c r="B504" s="1130"/>
      <c r="C504" s="1130"/>
      <c r="D504" s="1130"/>
      <c r="E504" s="1130"/>
      <c r="F504" s="1130"/>
      <c r="G504" s="1130"/>
      <c r="H504" s="1130"/>
      <c r="I504" s="2442" t="s">
        <v>1588</v>
      </c>
      <c r="J504" s="1135" t="s">
        <v>1589</v>
      </c>
      <c r="K504" s="2406">
        <v>36</v>
      </c>
      <c r="L504" s="2411">
        <v>827500000</v>
      </c>
      <c r="M504" s="2406">
        <v>0</v>
      </c>
      <c r="N504" s="2411">
        <v>0</v>
      </c>
      <c r="O504" s="2406">
        <v>0</v>
      </c>
      <c r="P504" s="2423">
        <v>0</v>
      </c>
      <c r="Q504" s="2406">
        <v>0</v>
      </c>
      <c r="R504" s="2441">
        <v>0</v>
      </c>
      <c r="S504" s="2412"/>
      <c r="T504" s="1867"/>
      <c r="U504" s="1860"/>
      <c r="V504" s="1860"/>
      <c r="W504" s="1860"/>
      <c r="X504" s="1859"/>
      <c r="Y504" s="2411">
        <f>Q504+S504+U504+W504</f>
        <v>0</v>
      </c>
      <c r="Z504" s="2411">
        <f>R504+T504+V504+X504</f>
        <v>0</v>
      </c>
      <c r="AA504" s="2406">
        <f>M504+Y504</f>
        <v>0</v>
      </c>
      <c r="AB504" s="2407">
        <f>N504+Z504</f>
        <v>0</v>
      </c>
      <c r="AC504" s="2406">
        <f>AA504/K504*100</f>
        <v>0</v>
      </c>
      <c r="AD504" s="2411">
        <f>AB504/L504*100</f>
        <v>0</v>
      </c>
      <c r="AE504" s="2412" t="s">
        <v>1523</v>
      </c>
      <c r="AF504" s="1149"/>
      <c r="AG504" s="1149"/>
    </row>
    <row r="505" spans="1:33" s="1150" customFormat="1" ht="25.5" customHeight="1">
      <c r="A505" s="1130"/>
      <c r="B505" s="1130"/>
      <c r="C505" s="1130"/>
      <c r="D505" s="1130"/>
      <c r="E505" s="1130"/>
      <c r="F505" s="1130"/>
      <c r="G505" s="1130"/>
      <c r="H505" s="1130"/>
      <c r="I505" s="2442"/>
      <c r="J505" s="1135" t="s">
        <v>1590</v>
      </c>
      <c r="K505" s="2406"/>
      <c r="L505" s="2411"/>
      <c r="M505" s="2406"/>
      <c r="N505" s="2411"/>
      <c r="O505" s="2406"/>
      <c r="P505" s="2423"/>
      <c r="Q505" s="2406"/>
      <c r="R505" s="2441"/>
      <c r="S505" s="2412"/>
      <c r="T505" s="1867"/>
      <c r="U505" s="1860"/>
      <c r="V505" s="1860"/>
      <c r="W505" s="1860"/>
      <c r="X505" s="1859"/>
      <c r="Y505" s="2411"/>
      <c r="Z505" s="2411"/>
      <c r="AA505" s="2406"/>
      <c r="AB505" s="2407"/>
      <c r="AC505" s="2406"/>
      <c r="AD505" s="2411"/>
      <c r="AE505" s="2412"/>
      <c r="AF505" s="1149"/>
      <c r="AG505" s="1149"/>
    </row>
    <row r="506" spans="1:33" s="1150" customFormat="1" ht="10.5" customHeight="1">
      <c r="A506" s="1130"/>
      <c r="B506" s="1130"/>
      <c r="C506" s="1130"/>
      <c r="D506" s="1130"/>
      <c r="E506" s="1130"/>
      <c r="F506" s="1130"/>
      <c r="G506" s="1130"/>
      <c r="H506" s="1130"/>
      <c r="I506" s="1877"/>
      <c r="J506" s="1135"/>
      <c r="K506" s="1858"/>
      <c r="L506" s="1859"/>
      <c r="M506" s="1858"/>
      <c r="N506" s="1859"/>
      <c r="O506" s="1858"/>
      <c r="P506" s="1872"/>
      <c r="Q506" s="1881"/>
      <c r="R506" s="1859"/>
      <c r="S506" s="1860"/>
      <c r="T506" s="1867"/>
      <c r="U506" s="1860"/>
      <c r="V506" s="1860"/>
      <c r="W506" s="1860"/>
      <c r="X506" s="1859"/>
      <c r="Y506" s="1882"/>
      <c r="Z506" s="1859"/>
      <c r="AA506" s="1858"/>
      <c r="AB506" s="1857"/>
      <c r="AC506" s="1881"/>
      <c r="AD506" s="1859"/>
      <c r="AE506" s="1860"/>
      <c r="AF506" s="1149"/>
      <c r="AG506" s="1149"/>
    </row>
    <row r="507" spans="1:33" s="1151" customFormat="1" ht="26.1" customHeight="1">
      <c r="A507" s="1117"/>
      <c r="B507" s="1117"/>
      <c r="C507" s="1115" t="s">
        <v>65</v>
      </c>
      <c r="D507" s="1115" t="s">
        <v>66</v>
      </c>
      <c r="E507" s="1115" t="s">
        <v>66</v>
      </c>
      <c r="F507" s="1115" t="s">
        <v>161</v>
      </c>
      <c r="G507" s="1115"/>
      <c r="H507" s="1117"/>
      <c r="I507" s="1157"/>
      <c r="J507" s="1117"/>
      <c r="K507" s="1876">
        <v>72</v>
      </c>
      <c r="L507" s="1866">
        <f t="shared" ref="L507:R507" si="157">L508</f>
        <v>260500000</v>
      </c>
      <c r="M507" s="1876">
        <f t="shared" si="157"/>
        <v>24</v>
      </c>
      <c r="N507" s="1875">
        <f t="shared" si="157"/>
        <v>0</v>
      </c>
      <c r="O507" s="1876">
        <f t="shared" si="157"/>
        <v>0</v>
      </c>
      <c r="P507" s="1158">
        <f t="shared" si="157"/>
        <v>0</v>
      </c>
      <c r="Q507" s="1863">
        <f t="shared" si="157"/>
        <v>0</v>
      </c>
      <c r="R507" s="1875">
        <f t="shared" si="157"/>
        <v>0</v>
      </c>
      <c r="S507" s="1863"/>
      <c r="T507" s="1866"/>
      <c r="U507" s="1863"/>
      <c r="V507" s="1863"/>
      <c r="W507" s="1863"/>
      <c r="X507" s="1875"/>
      <c r="Y507" s="1126">
        <f>Q507+S507+U507+W507</f>
        <v>0</v>
      </c>
      <c r="Z507" s="1875">
        <f>R507+T507+V507+X507</f>
        <v>0</v>
      </c>
      <c r="AA507" s="1876">
        <f>M507+Y507</f>
        <v>24</v>
      </c>
      <c r="AB507" s="1866">
        <f>Z507+N507</f>
        <v>0</v>
      </c>
      <c r="AC507" s="1876">
        <f>AA507/K507*100</f>
        <v>33.333333333333329</v>
      </c>
      <c r="AD507" s="1159">
        <f>AB507/L507*100</f>
        <v>0</v>
      </c>
      <c r="AE507" s="1861"/>
      <c r="AF507" s="1148"/>
      <c r="AG507" s="1148"/>
    </row>
    <row r="508" spans="1:33" s="1150" customFormat="1" ht="32.25" customHeight="1">
      <c r="A508" s="1130"/>
      <c r="B508" s="1130"/>
      <c r="C508" s="1115" t="s">
        <v>65</v>
      </c>
      <c r="D508" s="1115" t="s">
        <v>66</v>
      </c>
      <c r="E508" s="1115" t="s">
        <v>66</v>
      </c>
      <c r="F508" s="1115" t="s">
        <v>161</v>
      </c>
      <c r="G508" s="1115"/>
      <c r="H508" s="1132" t="s">
        <v>196</v>
      </c>
      <c r="I508" s="2442" t="s">
        <v>1591</v>
      </c>
      <c r="J508" s="1135" t="s">
        <v>1592</v>
      </c>
      <c r="K508" s="2406">
        <v>72</v>
      </c>
      <c r="L508" s="2411">
        <v>260500000</v>
      </c>
      <c r="M508" s="2406">
        <v>24</v>
      </c>
      <c r="N508" s="2415">
        <v>0</v>
      </c>
      <c r="O508" s="2406">
        <v>0</v>
      </c>
      <c r="P508" s="2423">
        <v>0</v>
      </c>
      <c r="Q508" s="2412">
        <v>0</v>
      </c>
      <c r="R508" s="2411">
        <v>0</v>
      </c>
      <c r="S508" s="2412"/>
      <c r="T508" s="2424"/>
      <c r="U508" s="2421"/>
      <c r="V508" s="2407"/>
      <c r="W508" s="2421"/>
      <c r="X508" s="2411"/>
      <c r="Y508" s="2422">
        <f>Q508+S508+U508+W508</f>
        <v>0</v>
      </c>
      <c r="Z508" s="2411">
        <f>R508+T508+V508+X508</f>
        <v>0</v>
      </c>
      <c r="AA508" s="2406">
        <f>M508+Y508</f>
        <v>24</v>
      </c>
      <c r="AB508" s="2407">
        <f>N508+Z508</f>
        <v>0</v>
      </c>
      <c r="AC508" s="2406">
        <f>AA508/K508*100</f>
        <v>33.333333333333329</v>
      </c>
      <c r="AD508" s="2411">
        <f>AB508/L508*100</f>
        <v>0</v>
      </c>
      <c r="AE508" s="2436" t="s">
        <v>1523</v>
      </c>
      <c r="AF508" s="1149"/>
      <c r="AG508" s="1149"/>
    </row>
    <row r="509" spans="1:33" s="1150" customFormat="1" ht="37.5" customHeight="1">
      <c r="A509" s="1130"/>
      <c r="B509" s="1130"/>
      <c r="C509" s="1117"/>
      <c r="D509" s="1117"/>
      <c r="E509" s="1117"/>
      <c r="F509" s="1117"/>
      <c r="G509" s="1117"/>
      <c r="H509" s="1130"/>
      <c r="I509" s="2442"/>
      <c r="J509" s="1135" t="s">
        <v>1593</v>
      </c>
      <c r="K509" s="2406"/>
      <c r="L509" s="2411"/>
      <c r="M509" s="2406"/>
      <c r="N509" s="2415"/>
      <c r="O509" s="2406"/>
      <c r="P509" s="2423"/>
      <c r="Q509" s="2412"/>
      <c r="R509" s="2411"/>
      <c r="S509" s="2412"/>
      <c r="T509" s="2424"/>
      <c r="U509" s="2412"/>
      <c r="V509" s="2412"/>
      <c r="W509" s="2412"/>
      <c r="X509" s="2411"/>
      <c r="Y509" s="2422"/>
      <c r="Z509" s="2411"/>
      <c r="AA509" s="2406"/>
      <c r="AB509" s="2407"/>
      <c r="AC509" s="2406"/>
      <c r="AD509" s="2411"/>
      <c r="AE509" s="2436"/>
      <c r="AF509" s="1149"/>
      <c r="AG509" s="1149"/>
    </row>
    <row r="510" spans="1:33" s="1150" customFormat="1" ht="2.4500000000000002" hidden="1" customHeight="1">
      <c r="A510" s="1130"/>
      <c r="B510" s="1130"/>
      <c r="C510" s="1130"/>
      <c r="D510" s="1130"/>
      <c r="E510" s="1130"/>
      <c r="F510" s="1130"/>
      <c r="G510" s="1130"/>
      <c r="H510" s="1130"/>
      <c r="I510" s="2442"/>
      <c r="J510" s="1130"/>
      <c r="K510" s="1152"/>
      <c r="L510" s="1860"/>
      <c r="M510" s="1152"/>
      <c r="N510" s="1145"/>
      <c r="O510" s="1152"/>
      <c r="P510" s="1153"/>
      <c r="Q510" s="1160"/>
      <c r="R510" s="1145"/>
      <c r="S510" s="1135"/>
      <c r="T510" s="1143"/>
      <c r="U510" s="1135"/>
      <c r="V510" s="1135"/>
      <c r="W510" s="1135"/>
      <c r="X510" s="1145"/>
      <c r="Y510" s="1882"/>
      <c r="Z510" s="1859"/>
      <c r="AA510" s="1152"/>
      <c r="AB510" s="1857">
        <f t="shared" ref="AB510:AB513" si="158">N510+Z510</f>
        <v>0</v>
      </c>
      <c r="AC510" s="1160"/>
      <c r="AD510" s="1152"/>
      <c r="AE510" s="1856"/>
      <c r="AF510" s="1149"/>
      <c r="AG510" s="1149"/>
    </row>
    <row r="511" spans="1:33" s="1151" customFormat="1" ht="40.5" customHeight="1">
      <c r="A511" s="1117"/>
      <c r="B511" s="1130" t="s">
        <v>1594</v>
      </c>
      <c r="C511" s="1115" t="s">
        <v>65</v>
      </c>
      <c r="D511" s="1115" t="s">
        <v>66</v>
      </c>
      <c r="E511" s="1115" t="s">
        <v>66</v>
      </c>
      <c r="F511" s="1115" t="s">
        <v>155</v>
      </c>
      <c r="G511" s="1115"/>
      <c r="H511" s="1117"/>
      <c r="I511" s="1157"/>
      <c r="J511" s="1161" t="s">
        <v>1595</v>
      </c>
      <c r="K511" s="1162">
        <v>144</v>
      </c>
      <c r="L511" s="1163">
        <v>1643591.84167461</v>
      </c>
      <c r="M511" s="1164">
        <v>160</v>
      </c>
      <c r="N511" s="1165">
        <v>637025.48</v>
      </c>
      <c r="O511" s="1876">
        <v>112</v>
      </c>
      <c r="P511" s="1166">
        <v>242399.17499999999</v>
      </c>
      <c r="Q511" s="1863">
        <v>3</v>
      </c>
      <c r="R511" s="1875">
        <f>R513+R515+R517+R520</f>
        <v>12257405</v>
      </c>
      <c r="S511" s="1863"/>
      <c r="T511" s="1864"/>
      <c r="U511" s="1865"/>
      <c r="V511" s="1865"/>
      <c r="W511" s="1865"/>
      <c r="X511" s="2443"/>
      <c r="Y511" s="1126">
        <f>Q511+S511+U511+W511</f>
        <v>3</v>
      </c>
      <c r="Z511" s="1875">
        <f>R511+T511+V511+X511</f>
        <v>12257405</v>
      </c>
      <c r="AA511" s="1866">
        <f>M511+Y511</f>
        <v>163</v>
      </c>
      <c r="AB511" s="1866">
        <f t="shared" si="158"/>
        <v>12894430.48</v>
      </c>
      <c r="AC511" s="2439">
        <f>AA511/K511*100</f>
        <v>113.19444444444444</v>
      </c>
      <c r="AD511" s="2443">
        <f>AB511/L511*100</f>
        <v>784.5275300747553</v>
      </c>
      <c r="AE511" s="2436" t="s">
        <v>1523</v>
      </c>
      <c r="AF511" s="1148"/>
      <c r="AG511" s="1148"/>
    </row>
    <row r="512" spans="1:33" s="1150" customFormat="1" ht="0.95" hidden="1" customHeight="1">
      <c r="A512" s="1130"/>
      <c r="B512" s="1130"/>
      <c r="C512" s="1130"/>
      <c r="D512" s="1130"/>
      <c r="E512" s="1130"/>
      <c r="F512" s="1130"/>
      <c r="G512" s="1130"/>
      <c r="H512" s="1130"/>
      <c r="I512" s="1140"/>
      <c r="J512" s="1130"/>
      <c r="K512" s="1121"/>
      <c r="L512" s="1863"/>
      <c r="M512" s="1121"/>
      <c r="N512" s="1122"/>
      <c r="O512" s="1121"/>
      <c r="P512" s="1147"/>
      <c r="Q512" s="1865"/>
      <c r="R512" s="1122"/>
      <c r="S512" s="1865"/>
      <c r="T512" s="1864"/>
      <c r="U512" s="1865"/>
      <c r="V512" s="1865"/>
      <c r="W512" s="1865"/>
      <c r="X512" s="2443"/>
      <c r="Y512" s="1167"/>
      <c r="Z512" s="1875"/>
      <c r="AA512" s="1121"/>
      <c r="AB512" s="1866">
        <f t="shared" si="158"/>
        <v>0</v>
      </c>
      <c r="AC512" s="2439"/>
      <c r="AD512" s="2443"/>
      <c r="AE512" s="2436"/>
      <c r="AF512" s="1149"/>
      <c r="AG512" s="1149"/>
    </row>
    <row r="513" spans="1:33" s="1150" customFormat="1" ht="42.75" customHeight="1">
      <c r="A513" s="1130"/>
      <c r="B513" s="1130"/>
      <c r="C513" s="1115" t="s">
        <v>65</v>
      </c>
      <c r="D513" s="1115" t="s">
        <v>66</v>
      </c>
      <c r="E513" s="1115" t="s">
        <v>66</v>
      </c>
      <c r="F513" s="1115" t="s">
        <v>155</v>
      </c>
      <c r="G513" s="1115"/>
      <c r="H513" s="1132" t="s">
        <v>197</v>
      </c>
      <c r="I513" s="2425" t="s">
        <v>1596</v>
      </c>
      <c r="J513" s="1130" t="s">
        <v>1597</v>
      </c>
      <c r="K513" s="2406">
        <v>60</v>
      </c>
      <c r="L513" s="2411">
        <v>8570504825</v>
      </c>
      <c r="M513" s="2406">
        <v>20</v>
      </c>
      <c r="N513" s="2415">
        <v>0</v>
      </c>
      <c r="O513" s="2406">
        <v>10</v>
      </c>
      <c r="P513" s="2423">
        <v>754996500</v>
      </c>
      <c r="Q513" s="2412">
        <v>3</v>
      </c>
      <c r="R513" s="2411">
        <v>6748405</v>
      </c>
      <c r="S513" s="2412"/>
      <c r="T513" s="2424"/>
      <c r="U513" s="2421"/>
      <c r="V513" s="2407"/>
      <c r="W513" s="2421"/>
      <c r="X513" s="2411"/>
      <c r="Y513" s="2422">
        <f>Q513+S513+U513+W513</f>
        <v>3</v>
      </c>
      <c r="Z513" s="2411">
        <f>R513+T513+V513+X513</f>
        <v>6748405</v>
      </c>
      <c r="AA513" s="2406">
        <f>M513+Y513</f>
        <v>23</v>
      </c>
      <c r="AB513" s="2407">
        <f t="shared" si="158"/>
        <v>6748405</v>
      </c>
      <c r="AC513" s="2406">
        <f>AA513/K513*100</f>
        <v>38.333333333333336</v>
      </c>
      <c r="AD513" s="2411">
        <f>AB513/L513*100</f>
        <v>7.8739877496072697E-2</v>
      </c>
      <c r="AE513" s="2412" t="s">
        <v>1523</v>
      </c>
      <c r="AF513" s="1149"/>
      <c r="AG513" s="1149"/>
    </row>
    <row r="514" spans="1:33" s="1150" customFormat="1" ht="27.95" customHeight="1">
      <c r="A514" s="1130"/>
      <c r="B514" s="1130"/>
      <c r="C514" s="1130"/>
      <c r="D514" s="1130"/>
      <c r="E514" s="1130"/>
      <c r="F514" s="1130"/>
      <c r="G514" s="1130"/>
      <c r="H514" s="1130"/>
      <c r="I514" s="2425"/>
      <c r="J514" s="1135" t="s">
        <v>1598</v>
      </c>
      <c r="K514" s="2406"/>
      <c r="L514" s="2411"/>
      <c r="M514" s="2406"/>
      <c r="N514" s="2415"/>
      <c r="O514" s="2406"/>
      <c r="P514" s="2423"/>
      <c r="Q514" s="2412"/>
      <c r="R514" s="2411"/>
      <c r="S514" s="2412"/>
      <c r="T514" s="2424"/>
      <c r="U514" s="2412"/>
      <c r="V514" s="2412"/>
      <c r="W514" s="2412"/>
      <c r="X514" s="2411"/>
      <c r="Y514" s="2422"/>
      <c r="Z514" s="2411"/>
      <c r="AA514" s="2406"/>
      <c r="AB514" s="2407"/>
      <c r="AC514" s="2406"/>
      <c r="AD514" s="2411"/>
      <c r="AE514" s="2412"/>
      <c r="AF514" s="1149"/>
      <c r="AG514" s="1149"/>
    </row>
    <row r="515" spans="1:33" s="1150" customFormat="1" ht="27.95" customHeight="1">
      <c r="A515" s="1130"/>
      <c r="B515" s="1130"/>
      <c r="C515" s="1130"/>
      <c r="D515" s="1130"/>
      <c r="E515" s="1130"/>
      <c r="F515" s="1130"/>
      <c r="G515" s="1130"/>
      <c r="H515" s="1130"/>
      <c r="I515" s="2425" t="s">
        <v>1599</v>
      </c>
      <c r="J515" s="1135" t="s">
        <v>1600</v>
      </c>
      <c r="K515" s="2406">
        <v>36</v>
      </c>
      <c r="L515" s="2411">
        <v>0</v>
      </c>
      <c r="M515" s="2406">
        <v>0</v>
      </c>
      <c r="N515" s="2415">
        <v>0</v>
      </c>
      <c r="O515" s="2406">
        <v>0</v>
      </c>
      <c r="P515" s="2423">
        <v>0</v>
      </c>
      <c r="Q515" s="2412">
        <v>0</v>
      </c>
      <c r="R515" s="2411">
        <v>0</v>
      </c>
      <c r="S515" s="1860"/>
      <c r="T515" s="1867"/>
      <c r="U515" s="1860"/>
      <c r="V515" s="1860"/>
      <c r="W515" s="1860"/>
      <c r="X515" s="1859"/>
      <c r="Y515" s="2422">
        <f>Q515+S515+U515+W515</f>
        <v>0</v>
      </c>
      <c r="Z515" s="2411">
        <f>R515+T515+V515+X515</f>
        <v>0</v>
      </c>
      <c r="AA515" s="2406">
        <f>M515+Y515</f>
        <v>0</v>
      </c>
      <c r="AB515" s="2407">
        <f>N515+Z515</f>
        <v>0</v>
      </c>
      <c r="AC515" s="2406">
        <f>AA515/K515*100</f>
        <v>0</v>
      </c>
      <c r="AD515" s="2411" t="e">
        <f>AB515/L515*100</f>
        <v>#DIV/0!</v>
      </c>
      <c r="AE515" s="2412" t="s">
        <v>1523</v>
      </c>
      <c r="AF515" s="1149"/>
      <c r="AG515" s="1149"/>
    </row>
    <row r="516" spans="1:33" s="1150" customFormat="1" ht="27.95" customHeight="1">
      <c r="A516" s="1130"/>
      <c r="B516" s="1130"/>
      <c r="C516" s="1130"/>
      <c r="D516" s="1130"/>
      <c r="E516" s="1130"/>
      <c r="F516" s="1130"/>
      <c r="G516" s="1130"/>
      <c r="H516" s="1130"/>
      <c r="I516" s="2425"/>
      <c r="J516" s="1135" t="s">
        <v>1601</v>
      </c>
      <c r="K516" s="2406"/>
      <c r="L516" s="2411"/>
      <c r="M516" s="2406"/>
      <c r="N516" s="2415"/>
      <c r="O516" s="2406"/>
      <c r="P516" s="2423"/>
      <c r="Q516" s="2412"/>
      <c r="R516" s="2411"/>
      <c r="S516" s="1860"/>
      <c r="T516" s="1867"/>
      <c r="U516" s="1860"/>
      <c r="V516" s="1860"/>
      <c r="W516" s="1860"/>
      <c r="X516" s="1859"/>
      <c r="Y516" s="2422"/>
      <c r="Z516" s="2411"/>
      <c r="AA516" s="2406"/>
      <c r="AB516" s="2407"/>
      <c r="AC516" s="2406"/>
      <c r="AD516" s="2411"/>
      <c r="AE516" s="2412"/>
      <c r="AF516" s="1149"/>
      <c r="AG516" s="1149"/>
    </row>
    <row r="517" spans="1:33" s="1150" customFormat="1" ht="27.95" customHeight="1">
      <c r="A517" s="1130"/>
      <c r="B517" s="1130"/>
      <c r="C517" s="1130"/>
      <c r="D517" s="1130"/>
      <c r="E517" s="1130"/>
      <c r="F517" s="1130"/>
      <c r="G517" s="1130"/>
      <c r="H517" s="1130"/>
      <c r="I517" s="2425" t="s">
        <v>1602</v>
      </c>
      <c r="J517" s="1135" t="s">
        <v>1603</v>
      </c>
      <c r="K517" s="2406">
        <v>36</v>
      </c>
      <c r="L517" s="2411">
        <v>0</v>
      </c>
      <c r="M517" s="2415">
        <v>0</v>
      </c>
      <c r="N517" s="2415">
        <v>0</v>
      </c>
      <c r="O517" s="2406">
        <v>0</v>
      </c>
      <c r="P517" s="2423">
        <v>0</v>
      </c>
      <c r="Q517" s="2412">
        <v>0</v>
      </c>
      <c r="R517" s="2411">
        <v>0</v>
      </c>
      <c r="S517" s="1860"/>
      <c r="T517" s="1867"/>
      <c r="U517" s="1860"/>
      <c r="V517" s="1860"/>
      <c r="W517" s="1860"/>
      <c r="X517" s="1859"/>
      <c r="Y517" s="2422">
        <f>Q517+S517+U517+W517</f>
        <v>0</v>
      </c>
      <c r="Z517" s="2411">
        <f>R517+T517+V517+X517</f>
        <v>0</v>
      </c>
      <c r="AA517" s="2406">
        <f>M517+Y517</f>
        <v>0</v>
      </c>
      <c r="AB517" s="2407">
        <f>N517+Z517</f>
        <v>0</v>
      </c>
      <c r="AC517" s="2406">
        <f>AA517/K517*100</f>
        <v>0</v>
      </c>
      <c r="AD517" s="2411" t="e">
        <f>AB517/L517*100</f>
        <v>#DIV/0!</v>
      </c>
      <c r="AE517" s="2412" t="s">
        <v>1523</v>
      </c>
      <c r="AF517" s="1149"/>
      <c r="AG517" s="1149"/>
    </row>
    <row r="518" spans="1:33" s="1150" customFormat="1" ht="27.95" customHeight="1">
      <c r="A518" s="1130"/>
      <c r="B518" s="1130"/>
      <c r="C518" s="1130"/>
      <c r="D518" s="1130"/>
      <c r="E518" s="1130"/>
      <c r="F518" s="1130"/>
      <c r="G518" s="1130"/>
      <c r="H518" s="1130"/>
      <c r="I518" s="2425"/>
      <c r="J518" s="1135" t="s">
        <v>1604</v>
      </c>
      <c r="K518" s="2406"/>
      <c r="L518" s="2411"/>
      <c r="M518" s="2415"/>
      <c r="N518" s="2415"/>
      <c r="O518" s="2406"/>
      <c r="P518" s="2423"/>
      <c r="Q518" s="2412"/>
      <c r="R518" s="2411"/>
      <c r="S518" s="1860"/>
      <c r="T518" s="1867"/>
      <c r="U518" s="1860"/>
      <c r="V518" s="1860"/>
      <c r="W518" s="1860"/>
      <c r="X518" s="1859"/>
      <c r="Y518" s="2422"/>
      <c r="Z518" s="2411"/>
      <c r="AA518" s="2406"/>
      <c r="AB518" s="2407"/>
      <c r="AC518" s="2406"/>
      <c r="AD518" s="2411"/>
      <c r="AE518" s="2412"/>
      <c r="AF518" s="1149"/>
      <c r="AG518" s="1149"/>
    </row>
    <row r="519" spans="1:33" s="1150" customFormat="1" ht="13.5" customHeight="1">
      <c r="A519" s="1130"/>
      <c r="B519" s="1130"/>
      <c r="C519" s="1130"/>
      <c r="D519" s="1130"/>
      <c r="E519" s="1130"/>
      <c r="F519" s="1130"/>
      <c r="G519" s="1130"/>
      <c r="H519" s="1130"/>
      <c r="I519" s="1871"/>
      <c r="J519" s="1135"/>
      <c r="K519" s="1858"/>
      <c r="L519" s="1859"/>
      <c r="M519" s="1858"/>
      <c r="N519" s="1870"/>
      <c r="O519" s="1858"/>
      <c r="P519" s="1872"/>
      <c r="Q519" s="1860"/>
      <c r="R519" s="1859"/>
      <c r="S519" s="1860"/>
      <c r="T519" s="1867"/>
      <c r="U519" s="1860"/>
      <c r="V519" s="1860"/>
      <c r="W519" s="1860"/>
      <c r="X519" s="1859"/>
      <c r="Y519" s="1868"/>
      <c r="Z519" s="1859"/>
      <c r="AA519" s="1858"/>
      <c r="AB519" s="1857"/>
      <c r="AC519" s="1858"/>
      <c r="AD519" s="1859"/>
      <c r="AE519" s="1860"/>
      <c r="AF519" s="1149"/>
      <c r="AG519" s="1149"/>
    </row>
    <row r="520" spans="1:33" s="1150" customFormat="1" ht="27" customHeight="1">
      <c r="A520" s="1130"/>
      <c r="B520" s="1130"/>
      <c r="C520" s="1115" t="s">
        <v>65</v>
      </c>
      <c r="D520" s="1115" t="s">
        <v>66</v>
      </c>
      <c r="E520" s="1115" t="s">
        <v>66</v>
      </c>
      <c r="F520" s="1115" t="s">
        <v>155</v>
      </c>
      <c r="G520" s="1115"/>
      <c r="H520" s="1115" t="s">
        <v>391</v>
      </c>
      <c r="I520" s="2425" t="s">
        <v>1605</v>
      </c>
      <c r="J520" s="1135" t="s">
        <v>1606</v>
      </c>
      <c r="K520" s="2406">
        <v>54</v>
      </c>
      <c r="L520" s="2411">
        <v>0</v>
      </c>
      <c r="M520" s="2406">
        <v>18</v>
      </c>
      <c r="N520" s="2411">
        <v>0</v>
      </c>
      <c r="O520" s="2406">
        <v>9</v>
      </c>
      <c r="P520" s="2423">
        <v>19498000</v>
      </c>
      <c r="Q520" s="2412">
        <v>3</v>
      </c>
      <c r="R520" s="2411">
        <v>5509000</v>
      </c>
      <c r="S520" s="1860"/>
      <c r="T520" s="1867"/>
      <c r="U520" s="1860"/>
      <c r="V520" s="1860"/>
      <c r="W520" s="1860"/>
      <c r="X520" s="1859"/>
      <c r="Y520" s="2422">
        <f>Q520+S520+U520+W520</f>
        <v>3</v>
      </c>
      <c r="Z520" s="2411">
        <f>R521+T521+V521+X521</f>
        <v>0</v>
      </c>
      <c r="AA520" s="2406">
        <f>M520+Y520</f>
        <v>21</v>
      </c>
      <c r="AB520" s="2407">
        <f>N520+Z520</f>
        <v>0</v>
      </c>
      <c r="AC520" s="2406">
        <f>AA520/K520*100</f>
        <v>38.888888888888893</v>
      </c>
      <c r="AD520" s="2411" t="e">
        <f>AB520/L520*100</f>
        <v>#DIV/0!</v>
      </c>
      <c r="AE520" s="2412" t="s">
        <v>1523</v>
      </c>
      <c r="AF520" s="1149"/>
      <c r="AG520" s="1149"/>
    </row>
    <row r="521" spans="1:33" s="1150" customFormat="1" ht="29.1" customHeight="1">
      <c r="A521" s="1130"/>
      <c r="B521" s="1130"/>
      <c r="C521" s="1130"/>
      <c r="D521" s="1130"/>
      <c r="E521" s="1130"/>
      <c r="F521" s="1130"/>
      <c r="G521" s="1130"/>
      <c r="H521" s="1130"/>
      <c r="I521" s="2425"/>
      <c r="J521" s="1135" t="s">
        <v>1607</v>
      </c>
      <c r="K521" s="2406"/>
      <c r="L521" s="2411"/>
      <c r="M521" s="2406"/>
      <c r="N521" s="2411"/>
      <c r="O521" s="2406"/>
      <c r="P521" s="2423"/>
      <c r="Q521" s="2412"/>
      <c r="R521" s="2411"/>
      <c r="S521" s="1860"/>
      <c r="T521" s="1867"/>
      <c r="U521" s="1860"/>
      <c r="V521" s="1860"/>
      <c r="W521" s="1860"/>
      <c r="X521" s="1859"/>
      <c r="Y521" s="2422"/>
      <c r="Z521" s="2411"/>
      <c r="AA521" s="2406"/>
      <c r="AB521" s="2407"/>
      <c r="AC521" s="2406"/>
      <c r="AD521" s="2411"/>
      <c r="AE521" s="2412"/>
      <c r="AF521" s="1149"/>
      <c r="AG521" s="1149"/>
    </row>
    <row r="522" spans="1:33" s="1150" customFormat="1" ht="6.95" customHeight="1">
      <c r="A522" s="1130"/>
      <c r="B522" s="1130"/>
      <c r="C522" s="1130"/>
      <c r="D522" s="1130"/>
      <c r="E522" s="1130"/>
      <c r="F522" s="1130"/>
      <c r="G522" s="1130"/>
      <c r="H522" s="1130"/>
      <c r="I522" s="1168"/>
      <c r="J522" s="1130"/>
      <c r="K522" s="1152"/>
      <c r="L522" s="1860"/>
      <c r="M522" s="1121"/>
      <c r="N522" s="1122"/>
      <c r="O522" s="1121"/>
      <c r="P522" s="1122"/>
      <c r="Q522" s="1865"/>
      <c r="R522" s="1122"/>
      <c r="S522" s="1865"/>
      <c r="T522" s="1864"/>
      <c r="U522" s="1865"/>
      <c r="V522" s="1865"/>
      <c r="W522" s="1865"/>
      <c r="X522" s="2443"/>
      <c r="Y522" s="1167"/>
      <c r="Z522" s="1875"/>
      <c r="AA522" s="1121"/>
      <c r="AB522" s="2444">
        <f>N523+Z523</f>
        <v>12593611.25</v>
      </c>
      <c r="AC522" s="1169"/>
      <c r="AD522" s="2443">
        <f>AB522/L523*100</f>
        <v>1055.6526377351609</v>
      </c>
      <c r="AE522" s="1861"/>
      <c r="AF522" s="1149"/>
      <c r="AG522" s="1149"/>
    </row>
    <row r="523" spans="1:33" s="1151" customFormat="1" ht="39.75" customHeight="1">
      <c r="A523" s="1117"/>
      <c r="B523" s="1130" t="s">
        <v>1608</v>
      </c>
      <c r="C523" s="1115" t="s">
        <v>65</v>
      </c>
      <c r="D523" s="1115" t="s">
        <v>66</v>
      </c>
      <c r="E523" s="1115" t="s">
        <v>66</v>
      </c>
      <c r="F523" s="1115" t="s">
        <v>166</v>
      </c>
      <c r="G523" s="1115"/>
      <c r="H523" s="1117"/>
      <c r="I523" s="1116"/>
      <c r="J523" s="1877" t="s">
        <v>1609</v>
      </c>
      <c r="K523" s="1170">
        <v>326</v>
      </c>
      <c r="L523" s="1171">
        <v>1192969.24005408</v>
      </c>
      <c r="M523" s="1172">
        <v>350</v>
      </c>
      <c r="N523" s="1173">
        <v>283611.25</v>
      </c>
      <c r="O523" s="1174">
        <v>150</v>
      </c>
      <c r="P523" s="1173">
        <v>218989.66125</v>
      </c>
      <c r="Q523" s="1175">
        <v>3</v>
      </c>
      <c r="R523" s="1122">
        <f>R524+R526+R528+R530</f>
        <v>12310000</v>
      </c>
      <c r="S523" s="1865"/>
      <c r="T523" s="1864"/>
      <c r="U523" s="1865"/>
      <c r="V523" s="1865"/>
      <c r="W523" s="1865"/>
      <c r="X523" s="2443"/>
      <c r="Y523" s="1176">
        <f>Q523+S523+U523+W523</f>
        <v>3</v>
      </c>
      <c r="Z523" s="1875">
        <f>R523+T523+V523+X522</f>
        <v>12310000</v>
      </c>
      <c r="AA523" s="1177">
        <f>M523+Y523</f>
        <v>353</v>
      </c>
      <c r="AB523" s="2444"/>
      <c r="AC523" s="1177">
        <f>AA523/K523*100</f>
        <v>108.28220858895705</v>
      </c>
      <c r="AD523" s="2443"/>
      <c r="AE523" s="1861"/>
      <c r="AF523" s="1148"/>
      <c r="AG523" s="1148"/>
    </row>
    <row r="524" spans="1:33" s="1151" customFormat="1" ht="42" customHeight="1">
      <c r="A524" s="1117"/>
      <c r="B524" s="1117"/>
      <c r="C524" s="1115" t="s">
        <v>65</v>
      </c>
      <c r="D524" s="1115" t="s">
        <v>66</v>
      </c>
      <c r="E524" s="1115" t="s">
        <v>66</v>
      </c>
      <c r="F524" s="1115" t="s">
        <v>166</v>
      </c>
      <c r="G524" s="1115"/>
      <c r="H524" s="1115" t="s">
        <v>65</v>
      </c>
      <c r="I524" s="2425" t="s">
        <v>1610</v>
      </c>
      <c r="J524" s="1880" t="s">
        <v>1611</v>
      </c>
      <c r="K524" s="2406">
        <v>72</v>
      </c>
      <c r="L524" s="2411">
        <v>0</v>
      </c>
      <c r="M524" s="2406">
        <v>24</v>
      </c>
      <c r="N524" s="2415">
        <v>0</v>
      </c>
      <c r="O524" s="2406">
        <v>12</v>
      </c>
      <c r="P524" s="2423">
        <v>114337650</v>
      </c>
      <c r="Q524" s="2412">
        <v>3</v>
      </c>
      <c r="R524" s="2440">
        <v>12310000</v>
      </c>
      <c r="S524" s="2412"/>
      <c r="T524" s="2424"/>
      <c r="U524" s="2421"/>
      <c r="V524" s="2407"/>
      <c r="W524" s="2421"/>
      <c r="X524" s="2411"/>
      <c r="Y524" s="2422">
        <f>Q524+S524+U524+W524</f>
        <v>3</v>
      </c>
      <c r="Z524" s="2411">
        <f>R524+T524+V524+X524</f>
        <v>12310000</v>
      </c>
      <c r="AA524" s="2406">
        <f>M524+Y524</f>
        <v>27</v>
      </c>
      <c r="AB524" s="2407">
        <f>N524+Z524</f>
        <v>12310000</v>
      </c>
      <c r="AC524" s="2406">
        <f>AA524/K524*100</f>
        <v>37.5</v>
      </c>
      <c r="AD524" s="2411" t="e">
        <f>AB524/L524*100</f>
        <v>#DIV/0!</v>
      </c>
      <c r="AE524" s="2412" t="s">
        <v>1523</v>
      </c>
      <c r="AF524" s="1148"/>
      <c r="AG524" s="1148"/>
    </row>
    <row r="525" spans="1:33" s="1151" customFormat="1" ht="27" customHeight="1">
      <c r="A525" s="1117"/>
      <c r="B525" s="1117"/>
      <c r="C525" s="1117"/>
      <c r="D525" s="1117"/>
      <c r="E525" s="1117"/>
      <c r="F525" s="1117"/>
      <c r="G525" s="1117"/>
      <c r="H525" s="1117"/>
      <c r="I525" s="2425"/>
      <c r="J525" s="1880" t="s">
        <v>1612</v>
      </c>
      <c r="K525" s="2406"/>
      <c r="L525" s="2411"/>
      <c r="M525" s="2406"/>
      <c r="N525" s="2415"/>
      <c r="O525" s="2406"/>
      <c r="P525" s="2423"/>
      <c r="Q525" s="2412"/>
      <c r="R525" s="2440"/>
      <c r="S525" s="2412"/>
      <c r="T525" s="2424"/>
      <c r="U525" s="2412"/>
      <c r="V525" s="2412"/>
      <c r="W525" s="2412"/>
      <c r="X525" s="2411"/>
      <c r="Y525" s="2422"/>
      <c r="Z525" s="2411"/>
      <c r="AA525" s="2406"/>
      <c r="AB525" s="2407"/>
      <c r="AC525" s="2406"/>
      <c r="AD525" s="2411"/>
      <c r="AE525" s="2412"/>
      <c r="AF525" s="1148"/>
      <c r="AG525" s="1148"/>
    </row>
    <row r="526" spans="1:33" s="1151" customFormat="1" ht="71.25" customHeight="1">
      <c r="A526" s="1117"/>
      <c r="B526" s="1117"/>
      <c r="C526" s="1115" t="s">
        <v>65</v>
      </c>
      <c r="D526" s="1115" t="s">
        <v>66</v>
      </c>
      <c r="E526" s="1115" t="s">
        <v>66</v>
      </c>
      <c r="F526" s="1115" t="s">
        <v>166</v>
      </c>
      <c r="G526" s="1115"/>
      <c r="H526" s="1115" t="s">
        <v>160</v>
      </c>
      <c r="I526" s="1869" t="s">
        <v>1613</v>
      </c>
      <c r="J526" s="1880" t="s">
        <v>1614</v>
      </c>
      <c r="K526" s="1858">
        <v>12</v>
      </c>
      <c r="L526" s="1145">
        <v>0</v>
      </c>
      <c r="M526" s="1858">
        <v>12</v>
      </c>
      <c r="N526" s="1178">
        <v>0</v>
      </c>
      <c r="O526" s="1152">
        <v>0</v>
      </c>
      <c r="P526" s="1153">
        <v>0</v>
      </c>
      <c r="Q526" s="1145">
        <v>0</v>
      </c>
      <c r="R526" s="1145">
        <v>0</v>
      </c>
      <c r="S526" s="1135"/>
      <c r="T526" s="1143"/>
      <c r="U526" s="1135"/>
      <c r="V526" s="1135"/>
      <c r="W526" s="1144"/>
      <c r="X526" s="1145"/>
      <c r="Y526" s="1868">
        <f>Q526+S526+U526+W526</f>
        <v>0</v>
      </c>
      <c r="Z526" s="2411">
        <f>R526+T526+V526+X526</f>
        <v>0</v>
      </c>
      <c r="AA526" s="1858">
        <f>M526+Y526</f>
        <v>12</v>
      </c>
      <c r="AB526" s="1143">
        <f>N526+Z526</f>
        <v>0</v>
      </c>
      <c r="AC526" s="1152">
        <f>AA526/K526*100</f>
        <v>100</v>
      </c>
      <c r="AD526" s="1859" t="e">
        <f>AB526/L526*100</f>
        <v>#DIV/0!</v>
      </c>
      <c r="AE526" s="1860" t="s">
        <v>1523</v>
      </c>
      <c r="AF526" s="1148"/>
      <c r="AG526" s="1148"/>
    </row>
    <row r="527" spans="1:33" s="1151" customFormat="1" ht="44.25" customHeight="1">
      <c r="A527" s="1117"/>
      <c r="B527" s="1117"/>
      <c r="C527" s="1117"/>
      <c r="D527" s="1117"/>
      <c r="E527" s="1117"/>
      <c r="F527" s="1117"/>
      <c r="G527" s="1117"/>
      <c r="H527" s="1117"/>
      <c r="I527" s="1869"/>
      <c r="J527" s="1880" t="s">
        <v>1615</v>
      </c>
      <c r="K527" s="1858"/>
      <c r="L527" s="1145"/>
      <c r="M527" s="1152"/>
      <c r="N527" s="1178"/>
      <c r="O527" s="1152"/>
      <c r="P527" s="1153"/>
      <c r="Q527" s="1145"/>
      <c r="R527" s="1145"/>
      <c r="S527" s="1135"/>
      <c r="T527" s="1143"/>
      <c r="U527" s="1135"/>
      <c r="V527" s="1135"/>
      <c r="W527" s="1135"/>
      <c r="X527" s="1145"/>
      <c r="Y527" s="1868"/>
      <c r="Z527" s="2411"/>
      <c r="AA527" s="1858"/>
      <c r="AB527" s="1143"/>
      <c r="AC527" s="1152"/>
      <c r="AD527" s="1859"/>
      <c r="AE527" s="1135"/>
      <c r="AF527" s="1148"/>
      <c r="AG527" s="1148"/>
    </row>
    <row r="528" spans="1:33" s="1151" customFormat="1" ht="25.5" customHeight="1">
      <c r="A528" s="1117"/>
      <c r="B528" s="1117"/>
      <c r="C528" s="1115" t="s">
        <v>66</v>
      </c>
      <c r="D528" s="1115" t="s">
        <v>65</v>
      </c>
      <c r="E528" s="1115" t="s">
        <v>66</v>
      </c>
      <c r="F528" s="1115" t="s">
        <v>166</v>
      </c>
      <c r="G528" s="1115"/>
      <c r="H528" s="1115" t="s">
        <v>396</v>
      </c>
      <c r="I528" s="1869" t="s">
        <v>1616</v>
      </c>
      <c r="J528" s="1880" t="s">
        <v>1617</v>
      </c>
      <c r="K528" s="1858">
        <v>12</v>
      </c>
      <c r="L528" s="1145">
        <v>0</v>
      </c>
      <c r="M528" s="1878">
        <v>12</v>
      </c>
      <c r="N528" s="1145">
        <v>0</v>
      </c>
      <c r="O528" s="1152">
        <v>0</v>
      </c>
      <c r="P528" s="1153">
        <v>0</v>
      </c>
      <c r="Q528" s="1145">
        <v>0</v>
      </c>
      <c r="R528" s="1145">
        <v>0</v>
      </c>
      <c r="S528" s="2412"/>
      <c r="T528" s="2407"/>
      <c r="U528" s="2412"/>
      <c r="V528" s="2412"/>
      <c r="W528" s="2421"/>
      <c r="X528" s="2411"/>
      <c r="Y528" s="1868">
        <f>Q528+S528+U528+W528</f>
        <v>0</v>
      </c>
      <c r="Z528" s="2411">
        <f>R528+T528+V528+X528</f>
        <v>0</v>
      </c>
      <c r="AA528" s="1858">
        <f>M528+Y528</f>
        <v>12</v>
      </c>
      <c r="AB528" s="1143">
        <f>N528+Z528</f>
        <v>0</v>
      </c>
      <c r="AC528" s="1152">
        <f>AA528/K528*100</f>
        <v>100</v>
      </c>
      <c r="AD528" s="1859" t="e">
        <f>AB528/L528*100</f>
        <v>#DIV/0!</v>
      </c>
      <c r="AE528" s="2412" t="s">
        <v>1523</v>
      </c>
      <c r="AF528" s="1148"/>
      <c r="AG528" s="1148"/>
    </row>
    <row r="529" spans="1:33" s="1151" customFormat="1" ht="26.25" customHeight="1">
      <c r="A529" s="1117"/>
      <c r="B529" s="1117"/>
      <c r="C529" s="1117"/>
      <c r="D529" s="1117"/>
      <c r="E529" s="1117"/>
      <c r="F529" s="1117"/>
      <c r="G529" s="1117"/>
      <c r="H529" s="1117"/>
      <c r="I529" s="1179"/>
      <c r="J529" s="1880" t="s">
        <v>1618</v>
      </c>
      <c r="K529" s="1858"/>
      <c r="L529" s="1145"/>
      <c r="M529" s="1152"/>
      <c r="N529" s="1145"/>
      <c r="O529" s="1152"/>
      <c r="P529" s="1153"/>
      <c r="Q529" s="1145"/>
      <c r="R529" s="1145"/>
      <c r="S529" s="2412"/>
      <c r="T529" s="2407"/>
      <c r="U529" s="2412"/>
      <c r="V529" s="2412"/>
      <c r="W529" s="2412"/>
      <c r="X529" s="2411"/>
      <c r="Y529" s="1868"/>
      <c r="Z529" s="2411"/>
      <c r="AA529" s="1152"/>
      <c r="AB529" s="1143"/>
      <c r="AC529" s="1152"/>
      <c r="AD529" s="1859"/>
      <c r="AE529" s="2412"/>
      <c r="AF529" s="1148"/>
      <c r="AG529" s="1148"/>
    </row>
    <row r="530" spans="1:33" s="1151" customFormat="1" ht="26.25" customHeight="1">
      <c r="A530" s="1117"/>
      <c r="B530" s="1117"/>
      <c r="C530" s="1117"/>
      <c r="D530" s="1117"/>
      <c r="E530" s="1117"/>
      <c r="F530" s="1117"/>
      <c r="G530" s="1117"/>
      <c r="H530" s="1117"/>
      <c r="I530" s="2425" t="s">
        <v>1619</v>
      </c>
      <c r="J530" s="1880" t="s">
        <v>1620</v>
      </c>
      <c r="K530" s="2406">
        <v>72</v>
      </c>
      <c r="L530" s="2411">
        <v>0</v>
      </c>
      <c r="M530" s="2406">
        <v>24</v>
      </c>
      <c r="N530" s="2411">
        <v>0</v>
      </c>
      <c r="O530" s="2406">
        <v>0</v>
      </c>
      <c r="P530" s="2423">
        <v>0</v>
      </c>
      <c r="Q530" s="2411">
        <v>0</v>
      </c>
      <c r="R530" s="2411">
        <v>0</v>
      </c>
      <c r="S530" s="1860"/>
      <c r="T530" s="1857"/>
      <c r="U530" s="1860"/>
      <c r="V530" s="1860"/>
      <c r="W530" s="1860"/>
      <c r="X530" s="1859"/>
      <c r="Y530" s="2422">
        <f>Q530+S530+U530+W530</f>
        <v>0</v>
      </c>
      <c r="Z530" s="2411">
        <f>R530+T530+V530+X530</f>
        <v>0</v>
      </c>
      <c r="AA530" s="2406">
        <f>M530+Y530</f>
        <v>24</v>
      </c>
      <c r="AB530" s="2407">
        <f>N530+Z530</f>
        <v>0</v>
      </c>
      <c r="AC530" s="2406">
        <f>AA530/K530*100</f>
        <v>33.333333333333329</v>
      </c>
      <c r="AD530" s="1859" t="e">
        <f>AB530/L530*100</f>
        <v>#DIV/0!</v>
      </c>
      <c r="AE530" s="2436" t="s">
        <v>1523</v>
      </c>
      <c r="AF530" s="1148"/>
      <c r="AG530" s="1148"/>
    </row>
    <row r="531" spans="1:33" s="1151" customFormat="1" ht="26.25" customHeight="1">
      <c r="A531" s="1117"/>
      <c r="B531" s="1117"/>
      <c r="C531" s="1117"/>
      <c r="D531" s="1117"/>
      <c r="E531" s="1117"/>
      <c r="F531" s="1117"/>
      <c r="G531" s="1117"/>
      <c r="H531" s="1117"/>
      <c r="I531" s="2425"/>
      <c r="J531" s="1880" t="s">
        <v>1621</v>
      </c>
      <c r="K531" s="2406"/>
      <c r="L531" s="2411"/>
      <c r="M531" s="2406"/>
      <c r="N531" s="2411"/>
      <c r="O531" s="2406"/>
      <c r="P531" s="2423"/>
      <c r="Q531" s="2411"/>
      <c r="R531" s="2411"/>
      <c r="S531" s="1860"/>
      <c r="T531" s="1857"/>
      <c r="U531" s="1860"/>
      <c r="V531" s="1860"/>
      <c r="W531" s="1860"/>
      <c r="X531" s="1859"/>
      <c r="Y531" s="2422"/>
      <c r="Z531" s="2411"/>
      <c r="AA531" s="2406"/>
      <c r="AB531" s="2407"/>
      <c r="AC531" s="2406"/>
      <c r="AD531" s="1859"/>
      <c r="AE531" s="2436"/>
      <c r="AF531" s="1148"/>
      <c r="AG531" s="1148"/>
    </row>
    <row r="532" spans="1:33" s="1151" customFormat="1" ht="12" customHeight="1">
      <c r="A532" s="1117"/>
      <c r="B532" s="1117"/>
      <c r="C532" s="1117"/>
      <c r="D532" s="1117"/>
      <c r="E532" s="1117"/>
      <c r="F532" s="1117"/>
      <c r="G532" s="1117"/>
      <c r="H532" s="1117"/>
      <c r="I532" s="1871"/>
      <c r="J532" s="1880"/>
      <c r="K532" s="1858"/>
      <c r="L532" s="1859"/>
      <c r="M532" s="1858"/>
      <c r="N532" s="1859"/>
      <c r="O532" s="1858"/>
      <c r="P532" s="1872"/>
      <c r="Q532" s="1859"/>
      <c r="R532" s="1859"/>
      <c r="S532" s="1860"/>
      <c r="T532" s="1857"/>
      <c r="U532" s="1860"/>
      <c r="V532" s="1860"/>
      <c r="W532" s="1860"/>
      <c r="X532" s="1859"/>
      <c r="Y532" s="1868"/>
      <c r="Z532" s="1859"/>
      <c r="AA532" s="1858"/>
      <c r="AB532" s="1857"/>
      <c r="AC532" s="1858"/>
      <c r="AD532" s="1859"/>
      <c r="AE532" s="1860"/>
      <c r="AF532" s="1148"/>
      <c r="AG532" s="1148"/>
    </row>
    <row r="533" spans="1:33" s="1151" customFormat="1" ht="44.25" customHeight="1">
      <c r="A533" s="1117"/>
      <c r="B533" s="1117"/>
      <c r="C533" s="1115" t="s">
        <v>65</v>
      </c>
      <c r="D533" s="1115" t="s">
        <v>66</v>
      </c>
      <c r="E533" s="1115" t="s">
        <v>66</v>
      </c>
      <c r="F533" s="1117">
        <v>17</v>
      </c>
      <c r="G533" s="1117"/>
      <c r="H533" s="1117"/>
      <c r="I533" s="1180"/>
      <c r="J533" s="1877" t="s">
        <v>1622</v>
      </c>
      <c r="K533" s="1162">
        <v>20</v>
      </c>
      <c r="L533" s="1181">
        <v>362510.53463085898</v>
      </c>
      <c r="M533" s="1121">
        <v>40</v>
      </c>
      <c r="N533" s="1173">
        <v>100086.6</v>
      </c>
      <c r="O533" s="1121">
        <v>20</v>
      </c>
      <c r="P533" s="1182">
        <v>63196.375</v>
      </c>
      <c r="Q533" s="1175">
        <v>3</v>
      </c>
      <c r="R533" s="1122">
        <f>R534+R536+R538</f>
        <v>1775000</v>
      </c>
      <c r="S533" s="1865"/>
      <c r="T533" s="1864"/>
      <c r="U533" s="1865"/>
      <c r="V533" s="1183"/>
      <c r="W533" s="1863"/>
      <c r="X533" s="1122"/>
      <c r="Y533" s="1184">
        <f>Q533+S533+U533+W533</f>
        <v>3</v>
      </c>
      <c r="Z533" s="1875">
        <f>R533+T533+V533+X533</f>
        <v>1775000</v>
      </c>
      <c r="AA533" s="1127">
        <f>M533+Y533</f>
        <v>43</v>
      </c>
      <c r="AB533" s="1866">
        <f>N533+Z533</f>
        <v>1875086.6</v>
      </c>
      <c r="AC533" s="1127">
        <f>AA533/K533*100</f>
        <v>215</v>
      </c>
      <c r="AD533" s="1862">
        <f>AB533/L533*100</f>
        <v>517.25023713017958</v>
      </c>
      <c r="AE533" s="1861"/>
      <c r="AF533" s="1148"/>
      <c r="AG533" s="1148"/>
    </row>
    <row r="534" spans="1:33" s="1151" customFormat="1" ht="41.45" customHeight="1">
      <c r="A534" s="1117"/>
      <c r="B534" s="1117"/>
      <c r="C534" s="1115" t="s">
        <v>65</v>
      </c>
      <c r="D534" s="1115" t="s">
        <v>66</v>
      </c>
      <c r="E534" s="1115" t="s">
        <v>66</v>
      </c>
      <c r="F534" s="1115" t="s">
        <v>448</v>
      </c>
      <c r="G534" s="1115"/>
      <c r="H534" s="1115" t="s">
        <v>161</v>
      </c>
      <c r="I534" s="2445" t="s">
        <v>1623</v>
      </c>
      <c r="J534" s="1877" t="s">
        <v>1624</v>
      </c>
      <c r="K534" s="2406">
        <v>72</v>
      </c>
      <c r="L534" s="2411">
        <v>0</v>
      </c>
      <c r="M534" s="2406">
        <v>24</v>
      </c>
      <c r="N534" s="2415">
        <v>0</v>
      </c>
      <c r="O534" s="2406">
        <v>12</v>
      </c>
      <c r="P534" s="2423">
        <v>62265000</v>
      </c>
      <c r="Q534" s="2412">
        <v>3</v>
      </c>
      <c r="R534" s="2440">
        <v>1775000</v>
      </c>
      <c r="S534" s="2412"/>
      <c r="T534" s="2424"/>
      <c r="U534" s="2421"/>
      <c r="V534" s="2407"/>
      <c r="W534" s="2421"/>
      <c r="X534" s="2411"/>
      <c r="Y534" s="2422">
        <f>Q534+S534+U534+W534</f>
        <v>3</v>
      </c>
      <c r="Z534" s="2411">
        <f>R534+T534+V534+X534</f>
        <v>1775000</v>
      </c>
      <c r="AA534" s="2406">
        <f>M534+Y534</f>
        <v>27</v>
      </c>
      <c r="AB534" s="2407">
        <f>N534+Z534</f>
        <v>1775000</v>
      </c>
      <c r="AC534" s="2406">
        <f>AA534/K534*100</f>
        <v>37.5</v>
      </c>
      <c r="AD534" s="2411" t="e">
        <f>AB534/L534*100</f>
        <v>#DIV/0!</v>
      </c>
      <c r="AE534" s="2436" t="s">
        <v>1523</v>
      </c>
      <c r="AF534" s="1148"/>
      <c r="AG534" s="1148"/>
    </row>
    <row r="535" spans="1:33" s="1151" customFormat="1" ht="45.75" customHeight="1">
      <c r="A535" s="1117"/>
      <c r="B535" s="1117"/>
      <c r="C535" s="1117"/>
      <c r="D535" s="1117"/>
      <c r="E535" s="1117"/>
      <c r="F535" s="1117"/>
      <c r="G535" s="1117"/>
      <c r="H535" s="1117"/>
      <c r="I535" s="2445"/>
      <c r="J535" s="1185" t="s">
        <v>1625</v>
      </c>
      <c r="K535" s="2406"/>
      <c r="L535" s="2411"/>
      <c r="M535" s="2406"/>
      <c r="N535" s="2415"/>
      <c r="O535" s="2406"/>
      <c r="P535" s="2423"/>
      <c r="Q535" s="2412"/>
      <c r="R535" s="2440"/>
      <c r="S535" s="2412"/>
      <c r="T535" s="2424"/>
      <c r="U535" s="2412"/>
      <c r="V535" s="2412"/>
      <c r="W535" s="2412"/>
      <c r="X535" s="2411"/>
      <c r="Y535" s="2422"/>
      <c r="Z535" s="2411"/>
      <c r="AA535" s="2406"/>
      <c r="AB535" s="2407"/>
      <c r="AC535" s="2406"/>
      <c r="AD535" s="2411"/>
      <c r="AE535" s="2436"/>
      <c r="AF535" s="1148"/>
      <c r="AG535" s="1148"/>
    </row>
    <row r="536" spans="1:33" s="1151" customFormat="1" ht="56.25" customHeight="1">
      <c r="A536" s="1117"/>
      <c r="B536" s="1117"/>
      <c r="C536" s="1117"/>
      <c r="D536" s="1117"/>
      <c r="E536" s="1117"/>
      <c r="F536" s="1117"/>
      <c r="G536" s="1117"/>
      <c r="H536" s="1117"/>
      <c r="I536" s="2445" t="s">
        <v>1626</v>
      </c>
      <c r="J536" s="1185" t="s">
        <v>1627</v>
      </c>
      <c r="K536" s="2406">
        <v>72</v>
      </c>
      <c r="L536" s="2411">
        <v>0</v>
      </c>
      <c r="M536" s="2406">
        <v>24</v>
      </c>
      <c r="N536" s="2415">
        <v>0</v>
      </c>
      <c r="O536" s="2406">
        <v>0</v>
      </c>
      <c r="P536" s="2406">
        <v>0</v>
      </c>
      <c r="Q536" s="2406">
        <v>0</v>
      </c>
      <c r="R536" s="2406">
        <v>0</v>
      </c>
      <c r="S536" s="1860"/>
      <c r="T536" s="1867"/>
      <c r="U536" s="1860"/>
      <c r="V536" s="1860"/>
      <c r="W536" s="1860"/>
      <c r="X536" s="1859"/>
      <c r="Y536" s="2422">
        <f>Q536+S536+U536+W536</f>
        <v>0</v>
      </c>
      <c r="Z536" s="2411">
        <f>R536+T536+V536+X536</f>
        <v>0</v>
      </c>
      <c r="AA536" s="2406">
        <f>M536+Y536</f>
        <v>24</v>
      </c>
      <c r="AB536" s="2407">
        <f>N536+Z536</f>
        <v>0</v>
      </c>
      <c r="AC536" s="2406">
        <f>AA536/K536*100</f>
        <v>33.333333333333329</v>
      </c>
      <c r="AD536" s="2411" t="e">
        <f>AB536/L536*100</f>
        <v>#DIV/0!</v>
      </c>
      <c r="AE536" s="2436" t="s">
        <v>1523</v>
      </c>
      <c r="AF536" s="1148"/>
      <c r="AG536" s="1148"/>
    </row>
    <row r="537" spans="1:33" s="1151" customFormat="1" ht="42.75" customHeight="1">
      <c r="A537" s="1117"/>
      <c r="B537" s="1117"/>
      <c r="C537" s="1117"/>
      <c r="D537" s="1117"/>
      <c r="E537" s="1117"/>
      <c r="F537" s="1117"/>
      <c r="G537" s="1117"/>
      <c r="H537" s="1117"/>
      <c r="I537" s="2445"/>
      <c r="J537" s="1185" t="s">
        <v>1628</v>
      </c>
      <c r="K537" s="2406"/>
      <c r="L537" s="2411"/>
      <c r="M537" s="2406"/>
      <c r="N537" s="2415"/>
      <c r="O537" s="2406"/>
      <c r="P537" s="2406"/>
      <c r="Q537" s="2406"/>
      <c r="R537" s="2406"/>
      <c r="S537" s="1860"/>
      <c r="T537" s="1867"/>
      <c r="U537" s="1860"/>
      <c r="V537" s="1860"/>
      <c r="W537" s="1860"/>
      <c r="X537" s="1859"/>
      <c r="Y537" s="2422"/>
      <c r="Z537" s="2411"/>
      <c r="AA537" s="2406"/>
      <c r="AB537" s="2407"/>
      <c r="AC537" s="2406"/>
      <c r="AD537" s="2411"/>
      <c r="AE537" s="2436"/>
      <c r="AF537" s="1148"/>
      <c r="AG537" s="1148"/>
    </row>
    <row r="538" spans="1:33" s="1151" customFormat="1" ht="27.75" customHeight="1">
      <c r="A538" s="1117"/>
      <c r="B538" s="1117"/>
      <c r="C538" s="1117"/>
      <c r="D538" s="1117"/>
      <c r="E538" s="1117"/>
      <c r="F538" s="1117"/>
      <c r="G538" s="1117"/>
      <c r="H538" s="1117"/>
      <c r="I538" s="2445" t="s">
        <v>1629</v>
      </c>
      <c r="J538" s="1185" t="s">
        <v>1630</v>
      </c>
      <c r="K538" s="2406">
        <v>36</v>
      </c>
      <c r="L538" s="2411">
        <v>0</v>
      </c>
      <c r="M538" s="2406">
        <v>0</v>
      </c>
      <c r="N538" s="2415">
        <v>0</v>
      </c>
      <c r="O538" s="2406">
        <v>0</v>
      </c>
      <c r="P538" s="2406">
        <v>0</v>
      </c>
      <c r="Q538" s="2406">
        <v>0</v>
      </c>
      <c r="R538" s="2406">
        <v>0</v>
      </c>
      <c r="S538" s="1860"/>
      <c r="T538" s="1867"/>
      <c r="U538" s="1860"/>
      <c r="V538" s="1860"/>
      <c r="W538" s="1860"/>
      <c r="X538" s="1859"/>
      <c r="Y538" s="2422">
        <f>Q538+S538+U538+W538</f>
        <v>0</v>
      </c>
      <c r="Z538" s="2411">
        <f>R538+T538+V538+X538</f>
        <v>0</v>
      </c>
      <c r="AA538" s="2406">
        <f>M538+Y538</f>
        <v>0</v>
      </c>
      <c r="AB538" s="2407">
        <f>N538+Z538</f>
        <v>0</v>
      </c>
      <c r="AC538" s="2406">
        <f>AA538/K538*100</f>
        <v>0</v>
      </c>
      <c r="AD538" s="2411" t="e">
        <f>AB538/L538*100</f>
        <v>#DIV/0!</v>
      </c>
      <c r="AE538" s="2436" t="s">
        <v>1523</v>
      </c>
      <c r="AF538" s="1148"/>
      <c r="AG538" s="1148"/>
    </row>
    <row r="539" spans="1:33" s="1151" customFormat="1" ht="27" customHeight="1">
      <c r="A539" s="1117"/>
      <c r="B539" s="1117"/>
      <c r="C539" s="1117"/>
      <c r="D539" s="1117"/>
      <c r="E539" s="1117"/>
      <c r="F539" s="1117"/>
      <c r="G539" s="1117"/>
      <c r="H539" s="1117"/>
      <c r="I539" s="2445"/>
      <c r="J539" s="1185"/>
      <c r="K539" s="2406"/>
      <c r="L539" s="2411"/>
      <c r="M539" s="2406"/>
      <c r="N539" s="2415"/>
      <c r="O539" s="2406"/>
      <c r="P539" s="2406"/>
      <c r="Q539" s="2406"/>
      <c r="R539" s="2406"/>
      <c r="S539" s="1860"/>
      <c r="T539" s="1867"/>
      <c r="U539" s="1860"/>
      <c r="V539" s="1860"/>
      <c r="W539" s="1860"/>
      <c r="X539" s="1859"/>
      <c r="Y539" s="2422"/>
      <c r="Z539" s="2411"/>
      <c r="AA539" s="2406"/>
      <c r="AB539" s="2407"/>
      <c r="AC539" s="2406"/>
      <c r="AD539" s="2411"/>
      <c r="AE539" s="2436"/>
      <c r="AF539" s="1148"/>
      <c r="AG539" s="1148"/>
    </row>
    <row r="540" spans="1:33" s="1150" customFormat="1" ht="58.5" customHeight="1">
      <c r="A540" s="1130"/>
      <c r="B540" s="1186" t="s">
        <v>1631</v>
      </c>
      <c r="C540" s="1117"/>
      <c r="D540" s="1117"/>
      <c r="E540" s="1117"/>
      <c r="F540" s="1117"/>
      <c r="G540" s="1117"/>
      <c r="H540" s="1130"/>
      <c r="I540" s="1116"/>
      <c r="J540" s="1880" t="s">
        <v>1632</v>
      </c>
      <c r="K540" s="1187">
        <v>100</v>
      </c>
      <c r="L540" s="1171">
        <v>5520318.8140000002</v>
      </c>
      <c r="M540" s="1121">
        <v>60</v>
      </c>
      <c r="N540" s="1165">
        <v>1810829.0179999999</v>
      </c>
      <c r="O540" s="1121">
        <v>70</v>
      </c>
      <c r="P540" s="1182">
        <v>778036.33600000001</v>
      </c>
      <c r="Q540" s="1123">
        <v>1</v>
      </c>
      <c r="R540" s="1122">
        <f>R541+R543+R545+R547+R549+R551+R553+R555+R557+R559</f>
        <v>43811400</v>
      </c>
      <c r="S540" s="1865"/>
      <c r="T540" s="1864"/>
      <c r="U540" s="1865"/>
      <c r="V540" s="1865"/>
      <c r="W540" s="1865"/>
      <c r="X540" s="1122"/>
      <c r="Y540" s="1123">
        <f>Q540+S540+U540+W540</f>
        <v>1</v>
      </c>
      <c r="Z540" s="1875">
        <f>R540+T540+V540+X540</f>
        <v>43811400</v>
      </c>
      <c r="AA540" s="1121">
        <f>M540+Y540</f>
        <v>61</v>
      </c>
      <c r="AB540" s="1866">
        <f>N540+Z540</f>
        <v>45622229.017999999</v>
      </c>
      <c r="AC540" s="1121">
        <f>AA540/K540*100</f>
        <v>61</v>
      </c>
      <c r="AD540" s="1121">
        <f>AB540/L540*100</f>
        <v>826.44192401167356</v>
      </c>
      <c r="AE540" s="1117"/>
    </row>
    <row r="541" spans="1:33" s="1150" customFormat="1" ht="27.75" customHeight="1">
      <c r="A541" s="1130"/>
      <c r="B541" s="1186"/>
      <c r="C541" s="1115" t="s">
        <v>65</v>
      </c>
      <c r="D541" s="1115" t="s">
        <v>66</v>
      </c>
      <c r="E541" s="1115" t="s">
        <v>66</v>
      </c>
      <c r="F541" s="1115" t="s">
        <v>155</v>
      </c>
      <c r="G541" s="1115"/>
      <c r="H541" s="1132" t="s">
        <v>197</v>
      </c>
      <c r="I541" s="1874" t="s">
        <v>1633</v>
      </c>
      <c r="J541" s="1880" t="s">
        <v>1634</v>
      </c>
      <c r="K541" s="2406">
        <v>12</v>
      </c>
      <c r="L541" s="2411">
        <v>0</v>
      </c>
      <c r="M541" s="2406">
        <v>4</v>
      </c>
      <c r="N541" s="2411">
        <v>0</v>
      </c>
      <c r="O541" s="2406">
        <v>2</v>
      </c>
      <c r="P541" s="2423">
        <v>342248000</v>
      </c>
      <c r="Q541" s="2412">
        <v>1</v>
      </c>
      <c r="R541" s="2411">
        <v>11225000</v>
      </c>
      <c r="S541" s="1135"/>
      <c r="T541" s="1143"/>
      <c r="U541" s="1135"/>
      <c r="V541" s="1135"/>
      <c r="W541" s="1135"/>
      <c r="X541" s="1145"/>
      <c r="Y541" s="2422">
        <f>Q541+S541+U541+W541</f>
        <v>1</v>
      </c>
      <c r="Z541" s="2411">
        <f>R541+T541+V541+X541</f>
        <v>11225000</v>
      </c>
      <c r="AA541" s="2406">
        <f>M541+Y541</f>
        <v>5</v>
      </c>
      <c r="AB541" s="2407">
        <f>N541+Z541</f>
        <v>11225000</v>
      </c>
      <c r="AC541" s="2406">
        <f>AA541/K541*100</f>
        <v>41.666666666666671</v>
      </c>
      <c r="AD541" s="2411" t="e">
        <f>AB541/L541*100</f>
        <v>#DIV/0!</v>
      </c>
      <c r="AE541" s="2436" t="s">
        <v>1523</v>
      </c>
    </row>
    <row r="542" spans="1:33" s="1150" customFormat="1" ht="20.100000000000001" customHeight="1">
      <c r="A542" s="1130"/>
      <c r="B542" s="1186"/>
      <c r="C542" s="1117"/>
      <c r="D542" s="1117"/>
      <c r="E542" s="1117"/>
      <c r="F542" s="1117"/>
      <c r="G542" s="1117"/>
      <c r="H542" s="1130"/>
      <c r="I542" s="1116"/>
      <c r="J542" s="1880" t="s">
        <v>1635</v>
      </c>
      <c r="K542" s="2406"/>
      <c r="L542" s="2411"/>
      <c r="M542" s="2406"/>
      <c r="N542" s="2411"/>
      <c r="O542" s="2406"/>
      <c r="P542" s="2423"/>
      <c r="Q542" s="2412"/>
      <c r="R542" s="2411"/>
      <c r="S542" s="1135"/>
      <c r="T542" s="1143"/>
      <c r="U542" s="1135"/>
      <c r="V542" s="1135"/>
      <c r="W542" s="1135"/>
      <c r="X542" s="1145"/>
      <c r="Y542" s="2422"/>
      <c r="Z542" s="2411"/>
      <c r="AA542" s="2406"/>
      <c r="AB542" s="2407"/>
      <c r="AC542" s="2406"/>
      <c r="AD542" s="2411"/>
      <c r="AE542" s="2436"/>
    </row>
    <row r="543" spans="1:33" s="1150" customFormat="1" ht="39.950000000000003" customHeight="1">
      <c r="A543" s="1130"/>
      <c r="B543" s="1130"/>
      <c r="C543" s="1115" t="s">
        <v>65</v>
      </c>
      <c r="D543" s="1115" t="s">
        <v>66</v>
      </c>
      <c r="E543" s="1115" t="s">
        <v>66</v>
      </c>
      <c r="F543" s="1115" t="s">
        <v>155</v>
      </c>
      <c r="G543" s="1115"/>
      <c r="H543" s="1132" t="s">
        <v>198</v>
      </c>
      <c r="I543" s="2432" t="s">
        <v>1636</v>
      </c>
      <c r="J543" s="1880" t="s">
        <v>1637</v>
      </c>
      <c r="K543" s="2406">
        <v>6</v>
      </c>
      <c r="L543" s="2411">
        <v>0</v>
      </c>
      <c r="M543" s="2406">
        <v>2</v>
      </c>
      <c r="N543" s="2415">
        <v>0</v>
      </c>
      <c r="O543" s="2406">
        <v>1</v>
      </c>
      <c r="P543" s="2423">
        <v>108725900</v>
      </c>
      <c r="Q543" s="2412">
        <v>1</v>
      </c>
      <c r="R543" s="2411">
        <v>21426400</v>
      </c>
      <c r="S543" s="2412"/>
      <c r="T543" s="2424"/>
      <c r="U543" s="2421"/>
      <c r="V543" s="2407"/>
      <c r="W543" s="2421"/>
      <c r="X543" s="2411"/>
      <c r="Y543" s="2422">
        <f>Q543+S543+U543+W543</f>
        <v>1</v>
      </c>
      <c r="Z543" s="2411">
        <f>R543+T543+V543+X543</f>
        <v>21426400</v>
      </c>
      <c r="AA543" s="2406">
        <f>M543+Y543</f>
        <v>3</v>
      </c>
      <c r="AB543" s="2407">
        <f>N543+Z543</f>
        <v>21426400</v>
      </c>
      <c r="AC543" s="2406">
        <f>AA543/K543*100</f>
        <v>50</v>
      </c>
      <c r="AD543" s="2411" t="e">
        <f>AB543/L543*100</f>
        <v>#DIV/0!</v>
      </c>
      <c r="AE543" s="2412" t="s">
        <v>1523</v>
      </c>
    </row>
    <row r="544" spans="1:33" s="1150" customFormat="1" ht="27.95" customHeight="1">
      <c r="A544" s="1130"/>
      <c r="B544" s="1130"/>
      <c r="C544" s="1117"/>
      <c r="D544" s="1117"/>
      <c r="E544" s="1117"/>
      <c r="F544" s="1117"/>
      <c r="G544" s="1117"/>
      <c r="H544" s="1130"/>
      <c r="I544" s="2432"/>
      <c r="J544" s="1880" t="s">
        <v>1638</v>
      </c>
      <c r="K544" s="2406"/>
      <c r="L544" s="2411"/>
      <c r="M544" s="2406"/>
      <c r="N544" s="2415"/>
      <c r="O544" s="2406"/>
      <c r="P544" s="2423"/>
      <c r="Q544" s="2412"/>
      <c r="R544" s="2411"/>
      <c r="S544" s="2412"/>
      <c r="T544" s="2424"/>
      <c r="U544" s="2412"/>
      <c r="V544" s="2412"/>
      <c r="W544" s="2412"/>
      <c r="X544" s="2411"/>
      <c r="Y544" s="2422"/>
      <c r="Z544" s="2411"/>
      <c r="AA544" s="2406"/>
      <c r="AB544" s="2407"/>
      <c r="AC544" s="2406"/>
      <c r="AD544" s="2411"/>
      <c r="AE544" s="2412"/>
    </row>
    <row r="545" spans="1:31" s="1150" customFormat="1" ht="30" customHeight="1">
      <c r="A545" s="1130"/>
      <c r="B545" s="2446" t="s">
        <v>1639</v>
      </c>
      <c r="C545" s="1115" t="s">
        <v>65</v>
      </c>
      <c r="D545" s="1115" t="s">
        <v>66</v>
      </c>
      <c r="E545" s="1115" t="s">
        <v>66</v>
      </c>
      <c r="F545" s="1115" t="s">
        <v>155</v>
      </c>
      <c r="G545" s="1115"/>
      <c r="H545" s="1132" t="s">
        <v>160</v>
      </c>
      <c r="I545" s="2432" t="s">
        <v>1640</v>
      </c>
      <c r="J545" s="1880" t="s">
        <v>1641</v>
      </c>
      <c r="K545" s="2406">
        <v>6</v>
      </c>
      <c r="L545" s="2411">
        <v>0</v>
      </c>
      <c r="M545" s="2406">
        <v>2</v>
      </c>
      <c r="N545" s="2415">
        <v>0</v>
      </c>
      <c r="O545" s="2406">
        <v>1</v>
      </c>
      <c r="P545" s="2423">
        <v>115165600</v>
      </c>
      <c r="Q545" s="2412">
        <v>1</v>
      </c>
      <c r="R545" s="2411">
        <v>11160000</v>
      </c>
      <c r="S545" s="2412"/>
      <c r="T545" s="2424"/>
      <c r="U545" s="2421"/>
      <c r="V545" s="2407"/>
      <c r="W545" s="2421"/>
      <c r="X545" s="2411"/>
      <c r="Y545" s="2422">
        <f>Q545+S545+U545+W545</f>
        <v>1</v>
      </c>
      <c r="Z545" s="2411">
        <f>R545+T545+V545+X545</f>
        <v>11160000</v>
      </c>
      <c r="AA545" s="2406">
        <f>M545+Y545</f>
        <v>3</v>
      </c>
      <c r="AB545" s="2407">
        <f>N545+Z545</f>
        <v>11160000</v>
      </c>
      <c r="AC545" s="2406">
        <f>AA545/K545*100</f>
        <v>50</v>
      </c>
      <c r="AD545" s="2411" t="e">
        <f>AB545/L545*100</f>
        <v>#DIV/0!</v>
      </c>
      <c r="AE545" s="2412" t="s">
        <v>1523</v>
      </c>
    </row>
    <row r="546" spans="1:31" s="1150" customFormat="1" ht="36" customHeight="1">
      <c r="A546" s="1130"/>
      <c r="B546" s="2446"/>
      <c r="C546" s="1117"/>
      <c r="D546" s="1117"/>
      <c r="E546" s="1117"/>
      <c r="F546" s="1117"/>
      <c r="G546" s="1117"/>
      <c r="H546" s="1130"/>
      <c r="I546" s="2432"/>
      <c r="J546" s="1880" t="s">
        <v>1642</v>
      </c>
      <c r="K546" s="2406"/>
      <c r="L546" s="2411"/>
      <c r="M546" s="2406"/>
      <c r="N546" s="2415"/>
      <c r="O546" s="2406"/>
      <c r="P546" s="2423"/>
      <c r="Q546" s="2412"/>
      <c r="R546" s="2411"/>
      <c r="S546" s="2412"/>
      <c r="T546" s="2424"/>
      <c r="U546" s="2412"/>
      <c r="V546" s="2412"/>
      <c r="W546" s="2412"/>
      <c r="X546" s="2411"/>
      <c r="Y546" s="2422"/>
      <c r="Z546" s="2411"/>
      <c r="AA546" s="2406"/>
      <c r="AB546" s="2407"/>
      <c r="AC546" s="2406"/>
      <c r="AD546" s="2411"/>
      <c r="AE546" s="2412"/>
    </row>
    <row r="547" spans="1:31" s="1150" customFormat="1" ht="37.5" customHeight="1">
      <c r="A547" s="1130"/>
      <c r="B547" s="1130"/>
      <c r="C547" s="1115" t="s">
        <v>65</v>
      </c>
      <c r="D547" s="1115" t="s">
        <v>66</v>
      </c>
      <c r="E547" s="1115" t="s">
        <v>66</v>
      </c>
      <c r="F547" s="1115" t="s">
        <v>155</v>
      </c>
      <c r="G547" s="1115"/>
      <c r="H547" s="1132" t="s">
        <v>417</v>
      </c>
      <c r="I547" s="2432" t="s">
        <v>1643</v>
      </c>
      <c r="J547" s="1880" t="s">
        <v>1644</v>
      </c>
      <c r="K547" s="2406">
        <v>6</v>
      </c>
      <c r="L547" s="2411">
        <v>0</v>
      </c>
      <c r="M547" s="2406">
        <v>2</v>
      </c>
      <c r="N547" s="2415">
        <v>0</v>
      </c>
      <c r="O547" s="2406">
        <v>1</v>
      </c>
      <c r="P547" s="2423">
        <v>129203200</v>
      </c>
      <c r="Q547" s="2412">
        <v>0</v>
      </c>
      <c r="R547" s="2411">
        <v>0</v>
      </c>
      <c r="S547" s="2412"/>
      <c r="T547" s="2424"/>
      <c r="U547" s="2421"/>
      <c r="V547" s="2407"/>
      <c r="W547" s="2421"/>
      <c r="X547" s="2411"/>
      <c r="Y547" s="2422">
        <f>Q547+S547+U547+W547</f>
        <v>0</v>
      </c>
      <c r="Z547" s="2411">
        <f>R547+T547+V547+X547</f>
        <v>0</v>
      </c>
      <c r="AA547" s="2406">
        <v>27</v>
      </c>
      <c r="AB547" s="2407">
        <f>N547+Z547</f>
        <v>0</v>
      </c>
      <c r="AC547" s="2406">
        <f>AA547/K547*100</f>
        <v>450</v>
      </c>
      <c r="AD547" s="2411" t="e">
        <f>AB547/L547*100</f>
        <v>#DIV/0!</v>
      </c>
      <c r="AE547" s="2412" t="s">
        <v>1523</v>
      </c>
    </row>
    <row r="548" spans="1:31" s="1150" customFormat="1" ht="27.6" customHeight="1">
      <c r="A548" s="1130"/>
      <c r="B548" s="1130"/>
      <c r="C548" s="1117"/>
      <c r="D548" s="1117"/>
      <c r="E548" s="1117"/>
      <c r="F548" s="1117"/>
      <c r="G548" s="1117"/>
      <c r="H548" s="1130"/>
      <c r="I548" s="2432"/>
      <c r="J548" s="1880" t="s">
        <v>1645</v>
      </c>
      <c r="K548" s="2406"/>
      <c r="L548" s="2411"/>
      <c r="M548" s="2406"/>
      <c r="N548" s="2415"/>
      <c r="O548" s="2406"/>
      <c r="P548" s="2423"/>
      <c r="Q548" s="2412"/>
      <c r="R548" s="2411"/>
      <c r="S548" s="2412"/>
      <c r="T548" s="2424"/>
      <c r="U548" s="2412"/>
      <c r="V548" s="2412"/>
      <c r="W548" s="2412"/>
      <c r="X548" s="2411"/>
      <c r="Y548" s="2422"/>
      <c r="Z548" s="2411"/>
      <c r="AA548" s="2406"/>
      <c r="AB548" s="2407"/>
      <c r="AC548" s="2406"/>
      <c r="AD548" s="2411"/>
      <c r="AE548" s="2412"/>
    </row>
    <row r="549" spans="1:31" s="1150" customFormat="1" ht="27.75" customHeight="1">
      <c r="A549" s="1130"/>
      <c r="B549" s="1130"/>
      <c r="C549" s="1115" t="s">
        <v>65</v>
      </c>
      <c r="D549" s="1115" t="s">
        <v>66</v>
      </c>
      <c r="E549" s="1115" t="s">
        <v>66</v>
      </c>
      <c r="F549" s="1115" t="s">
        <v>155</v>
      </c>
      <c r="G549" s="1115"/>
      <c r="H549" s="1132" t="s">
        <v>357</v>
      </c>
      <c r="I549" s="2432" t="s">
        <v>1646</v>
      </c>
      <c r="J549" s="1880" t="s">
        <v>1647</v>
      </c>
      <c r="K549" s="2406">
        <v>4</v>
      </c>
      <c r="L549" s="2411">
        <v>0</v>
      </c>
      <c r="M549" s="2406">
        <v>4</v>
      </c>
      <c r="N549" s="2415">
        <v>0</v>
      </c>
      <c r="O549" s="2406">
        <v>0</v>
      </c>
      <c r="P549" s="2423">
        <v>0</v>
      </c>
      <c r="Q549" s="2406">
        <v>0</v>
      </c>
      <c r="R549" s="2411">
        <v>0</v>
      </c>
      <c r="S549" s="2412"/>
      <c r="T549" s="2424"/>
      <c r="U549" s="2421"/>
      <c r="V549" s="2407"/>
      <c r="W549" s="2421"/>
      <c r="X549" s="2411"/>
      <c r="Y549" s="2422">
        <f>Q549+S549+U549+W549</f>
        <v>0</v>
      </c>
      <c r="Z549" s="2411">
        <f>R549+T549+V549+X549</f>
        <v>0</v>
      </c>
      <c r="AA549" s="2406">
        <f>M549+Y549</f>
        <v>4</v>
      </c>
      <c r="AB549" s="2407">
        <f>N549+Z549</f>
        <v>0</v>
      </c>
      <c r="AC549" s="2406">
        <f>AA549/K549*100</f>
        <v>100</v>
      </c>
      <c r="AD549" s="2411" t="e">
        <f>AB549/L549*100</f>
        <v>#DIV/0!</v>
      </c>
      <c r="AE549" s="2412" t="s">
        <v>1523</v>
      </c>
    </row>
    <row r="550" spans="1:31" s="1150" customFormat="1" ht="25.5" customHeight="1">
      <c r="A550" s="1130"/>
      <c r="B550" s="1130"/>
      <c r="C550" s="1117"/>
      <c r="D550" s="1117"/>
      <c r="E550" s="1117"/>
      <c r="F550" s="1117"/>
      <c r="G550" s="1117"/>
      <c r="H550" s="1130"/>
      <c r="I550" s="2432"/>
      <c r="J550" s="1880" t="s">
        <v>1648</v>
      </c>
      <c r="K550" s="2406"/>
      <c r="L550" s="2411"/>
      <c r="M550" s="2406"/>
      <c r="N550" s="2415"/>
      <c r="O550" s="2406"/>
      <c r="P550" s="2423"/>
      <c r="Q550" s="2406"/>
      <c r="R550" s="2411"/>
      <c r="S550" s="2412"/>
      <c r="T550" s="2424"/>
      <c r="U550" s="2412"/>
      <c r="V550" s="2412"/>
      <c r="W550" s="2412"/>
      <c r="X550" s="2411"/>
      <c r="Y550" s="2422"/>
      <c r="Z550" s="2411"/>
      <c r="AA550" s="2406"/>
      <c r="AB550" s="2407"/>
      <c r="AC550" s="2406"/>
      <c r="AD550" s="2411"/>
      <c r="AE550" s="2412"/>
    </row>
    <row r="551" spans="1:31" s="1150" customFormat="1" ht="25.5" customHeight="1">
      <c r="A551" s="1130"/>
      <c r="B551" s="1130"/>
      <c r="C551" s="1115" t="s">
        <v>65</v>
      </c>
      <c r="D551" s="1115" t="s">
        <v>66</v>
      </c>
      <c r="E551" s="1115" t="s">
        <v>66</v>
      </c>
      <c r="F551" s="1115" t="s">
        <v>155</v>
      </c>
      <c r="G551" s="1115"/>
      <c r="H551" s="1132" t="s">
        <v>167</v>
      </c>
      <c r="I551" s="2432" t="s">
        <v>1649</v>
      </c>
      <c r="J551" s="1880" t="s">
        <v>1650</v>
      </c>
      <c r="K551" s="2406">
        <v>4</v>
      </c>
      <c r="L551" s="2411">
        <v>0</v>
      </c>
      <c r="M551" s="2406">
        <v>4</v>
      </c>
      <c r="N551" s="2415">
        <v>0</v>
      </c>
      <c r="O551" s="2406">
        <v>0</v>
      </c>
      <c r="P551" s="2406">
        <v>0</v>
      </c>
      <c r="Q551" s="2406">
        <v>0</v>
      </c>
      <c r="R551" s="2406">
        <v>0</v>
      </c>
      <c r="S551" s="1860"/>
      <c r="T551" s="1867"/>
      <c r="U551" s="1860"/>
      <c r="V551" s="1860"/>
      <c r="W551" s="1860"/>
      <c r="X551" s="1859"/>
      <c r="Y551" s="2422">
        <f>Q551+S551+U551+W551</f>
        <v>0</v>
      </c>
      <c r="Z551" s="2411">
        <f>R551+T551+V551+X551</f>
        <v>0</v>
      </c>
      <c r="AA551" s="2406">
        <f>M551+Y551</f>
        <v>4</v>
      </c>
      <c r="AB551" s="2407">
        <f>N551+Z551</f>
        <v>0</v>
      </c>
      <c r="AC551" s="2406">
        <f>AA551/K551*100</f>
        <v>100</v>
      </c>
      <c r="AD551" s="2411" t="e">
        <f>AB551/L551*100</f>
        <v>#DIV/0!</v>
      </c>
      <c r="AE551" s="2412" t="s">
        <v>1523</v>
      </c>
    </row>
    <row r="552" spans="1:31" s="1150" customFormat="1" ht="26.25" customHeight="1">
      <c r="A552" s="1130"/>
      <c r="B552" s="1130"/>
      <c r="C552" s="1117"/>
      <c r="D552" s="1117"/>
      <c r="E552" s="1117"/>
      <c r="F552" s="1117"/>
      <c r="G552" s="1117"/>
      <c r="H552" s="1130"/>
      <c r="I552" s="2432"/>
      <c r="J552" s="1880" t="s">
        <v>1651</v>
      </c>
      <c r="K552" s="2406"/>
      <c r="L552" s="2411"/>
      <c r="M552" s="2406"/>
      <c r="N552" s="2415"/>
      <c r="O552" s="2406"/>
      <c r="P552" s="2406"/>
      <c r="Q552" s="2406"/>
      <c r="R552" s="2406"/>
      <c r="S552" s="1860"/>
      <c r="T552" s="1867"/>
      <c r="U552" s="1860"/>
      <c r="V552" s="1860"/>
      <c r="W552" s="1860"/>
      <c r="X552" s="1859"/>
      <c r="Y552" s="2422"/>
      <c r="Z552" s="2411"/>
      <c r="AA552" s="2406"/>
      <c r="AB552" s="2407"/>
      <c r="AC552" s="2406"/>
      <c r="AD552" s="2411"/>
      <c r="AE552" s="2412"/>
    </row>
    <row r="553" spans="1:31" s="1150" customFormat="1" ht="26.25" customHeight="1">
      <c r="A553" s="1130"/>
      <c r="B553" s="1130"/>
      <c r="C553" s="1117"/>
      <c r="D553" s="1117"/>
      <c r="E553" s="1117"/>
      <c r="F553" s="1117"/>
      <c r="G553" s="1117"/>
      <c r="H553" s="1130"/>
      <c r="I553" s="2425" t="s">
        <v>1652</v>
      </c>
      <c r="J553" s="1880" t="s">
        <v>1653</v>
      </c>
      <c r="K553" s="2406">
        <v>4</v>
      </c>
      <c r="L553" s="2411">
        <v>0</v>
      </c>
      <c r="M553" s="2406">
        <v>4</v>
      </c>
      <c r="N553" s="2415">
        <v>0</v>
      </c>
      <c r="O553" s="2406">
        <v>0</v>
      </c>
      <c r="P553" s="2406">
        <v>0</v>
      </c>
      <c r="Q553" s="2406">
        <v>0</v>
      </c>
      <c r="R553" s="2406">
        <v>0</v>
      </c>
      <c r="S553" s="1860"/>
      <c r="T553" s="1867"/>
      <c r="U553" s="1860"/>
      <c r="V553" s="1860"/>
      <c r="W553" s="1860"/>
      <c r="X553" s="1859"/>
      <c r="Y553" s="2422">
        <f>Q553+S553+U553+W553</f>
        <v>0</v>
      </c>
      <c r="Z553" s="2411">
        <f>R553+T553+V553+X553</f>
        <v>0</v>
      </c>
      <c r="AA553" s="2406">
        <f>M553+Y553</f>
        <v>4</v>
      </c>
      <c r="AB553" s="2407">
        <f>N553+Z553</f>
        <v>0</v>
      </c>
      <c r="AC553" s="2406">
        <f>AA553/K553*100</f>
        <v>100</v>
      </c>
      <c r="AD553" s="2411" t="e">
        <f>AB553/L553*100</f>
        <v>#DIV/0!</v>
      </c>
      <c r="AE553" s="2412" t="s">
        <v>1523</v>
      </c>
    </row>
    <row r="554" spans="1:31" s="1150" customFormat="1" ht="26.25" customHeight="1">
      <c r="A554" s="1130"/>
      <c r="B554" s="1130"/>
      <c r="C554" s="1117"/>
      <c r="D554" s="1117"/>
      <c r="E554" s="1117"/>
      <c r="F554" s="1117"/>
      <c r="G554" s="1117"/>
      <c r="H554" s="1130"/>
      <c r="I554" s="2425"/>
      <c r="J554" s="1880"/>
      <c r="K554" s="2406"/>
      <c r="L554" s="2411"/>
      <c r="M554" s="2406"/>
      <c r="N554" s="2415"/>
      <c r="O554" s="2406"/>
      <c r="P554" s="2406"/>
      <c r="Q554" s="2406"/>
      <c r="R554" s="2406"/>
      <c r="S554" s="1860"/>
      <c r="T554" s="1867"/>
      <c r="U554" s="1860"/>
      <c r="V554" s="1860"/>
      <c r="W554" s="1860"/>
      <c r="X554" s="1859"/>
      <c r="Y554" s="2422"/>
      <c r="Z554" s="2411"/>
      <c r="AA554" s="2406"/>
      <c r="AB554" s="2407"/>
      <c r="AC554" s="2406"/>
      <c r="AD554" s="2411"/>
      <c r="AE554" s="2412"/>
    </row>
    <row r="555" spans="1:31" s="1150" customFormat="1" ht="26.25" customHeight="1">
      <c r="A555" s="1130"/>
      <c r="B555" s="1130"/>
      <c r="C555" s="1117"/>
      <c r="D555" s="1117"/>
      <c r="E555" s="1117"/>
      <c r="F555" s="1117"/>
      <c r="G555" s="1117"/>
      <c r="H555" s="1130"/>
      <c r="I555" s="2425" t="s">
        <v>1654</v>
      </c>
      <c r="J555" s="1880" t="s">
        <v>1655</v>
      </c>
      <c r="K555" s="2406">
        <v>36</v>
      </c>
      <c r="L555" s="2411">
        <v>0</v>
      </c>
      <c r="M555" s="2406">
        <v>0</v>
      </c>
      <c r="N555" s="2415">
        <v>0</v>
      </c>
      <c r="O555" s="2406">
        <v>0</v>
      </c>
      <c r="P555" s="2406">
        <v>0</v>
      </c>
      <c r="Q555" s="2406">
        <v>0</v>
      </c>
      <c r="R555" s="2406">
        <v>0</v>
      </c>
      <c r="S555" s="1860"/>
      <c r="T555" s="1867"/>
      <c r="U555" s="1860"/>
      <c r="V555" s="1860"/>
      <c r="W555" s="1860"/>
      <c r="X555" s="1859"/>
      <c r="Y555" s="2422">
        <f>Q555+S555+U555+W555</f>
        <v>0</v>
      </c>
      <c r="Z555" s="2411">
        <f>R555+T555+V555+X555</f>
        <v>0</v>
      </c>
      <c r="AA555" s="2406">
        <f>M555+Y555</f>
        <v>0</v>
      </c>
      <c r="AB555" s="2407">
        <f>N555+Z555</f>
        <v>0</v>
      </c>
      <c r="AC555" s="2406">
        <f>AA555/K555*100</f>
        <v>0</v>
      </c>
      <c r="AD555" s="2411" t="e">
        <f>AB555/L555*100</f>
        <v>#DIV/0!</v>
      </c>
      <c r="AE555" s="2412" t="s">
        <v>1523</v>
      </c>
    </row>
    <row r="556" spans="1:31" s="1150" customFormat="1" ht="26.25" customHeight="1">
      <c r="A556" s="1130"/>
      <c r="B556" s="1130"/>
      <c r="C556" s="1117"/>
      <c r="D556" s="1117"/>
      <c r="E556" s="1117"/>
      <c r="F556" s="1117"/>
      <c r="G556" s="1117"/>
      <c r="H556" s="1130"/>
      <c r="I556" s="2425"/>
      <c r="J556" s="1880" t="s">
        <v>1655</v>
      </c>
      <c r="K556" s="2406"/>
      <c r="L556" s="2411"/>
      <c r="M556" s="2406"/>
      <c r="N556" s="2415"/>
      <c r="O556" s="2406"/>
      <c r="P556" s="2406"/>
      <c r="Q556" s="2406"/>
      <c r="R556" s="2406"/>
      <c r="S556" s="1860"/>
      <c r="T556" s="1867"/>
      <c r="U556" s="1860"/>
      <c r="V556" s="1860"/>
      <c r="W556" s="1860"/>
      <c r="X556" s="1859"/>
      <c r="Y556" s="2422"/>
      <c r="Z556" s="2411"/>
      <c r="AA556" s="2406"/>
      <c r="AB556" s="2407"/>
      <c r="AC556" s="2406"/>
      <c r="AD556" s="2411"/>
      <c r="AE556" s="2412"/>
    </row>
    <row r="557" spans="1:31" s="1150" customFormat="1" ht="26.25" customHeight="1">
      <c r="A557" s="1130"/>
      <c r="B557" s="1130"/>
      <c r="C557" s="1117"/>
      <c r="D557" s="1117"/>
      <c r="E557" s="1117"/>
      <c r="F557" s="1117"/>
      <c r="G557" s="1117"/>
      <c r="H557" s="1130"/>
      <c r="I557" s="2425" t="s">
        <v>1656</v>
      </c>
      <c r="J557" s="1880" t="s">
        <v>1657</v>
      </c>
      <c r="K557" s="2406">
        <v>36</v>
      </c>
      <c r="L557" s="2411">
        <v>0</v>
      </c>
      <c r="M557" s="2406">
        <v>0</v>
      </c>
      <c r="N557" s="2415">
        <v>0</v>
      </c>
      <c r="O557" s="2406">
        <v>0</v>
      </c>
      <c r="P557" s="2406">
        <v>0</v>
      </c>
      <c r="Q557" s="2406">
        <v>0</v>
      </c>
      <c r="R557" s="2406">
        <v>0</v>
      </c>
      <c r="S557" s="1860"/>
      <c r="T557" s="1867"/>
      <c r="U557" s="1860"/>
      <c r="V557" s="1860"/>
      <c r="W557" s="1860"/>
      <c r="X557" s="1859"/>
      <c r="Y557" s="2422">
        <f>Q557+S557+U557+W557</f>
        <v>0</v>
      </c>
      <c r="Z557" s="2411">
        <f>R557+T557+V557+X557</f>
        <v>0</v>
      </c>
      <c r="AA557" s="2406">
        <f>M557+Y557</f>
        <v>0</v>
      </c>
      <c r="AB557" s="2407">
        <f>N557+Z557</f>
        <v>0</v>
      </c>
      <c r="AC557" s="2406">
        <f>AA557/K557*100</f>
        <v>0</v>
      </c>
      <c r="AD557" s="2411" t="e">
        <f>AB557/L557*100</f>
        <v>#DIV/0!</v>
      </c>
      <c r="AE557" s="2412" t="s">
        <v>1523</v>
      </c>
    </row>
    <row r="558" spans="1:31" s="1150" customFormat="1" ht="26.25" customHeight="1">
      <c r="A558" s="1130"/>
      <c r="B558" s="1130"/>
      <c r="C558" s="1117"/>
      <c r="D558" s="1117"/>
      <c r="E558" s="1117"/>
      <c r="F558" s="1117"/>
      <c r="G558" s="1117"/>
      <c r="H558" s="1130"/>
      <c r="I558" s="2425"/>
      <c r="J558" s="1880" t="s">
        <v>1658</v>
      </c>
      <c r="K558" s="2406"/>
      <c r="L558" s="2411"/>
      <c r="M558" s="2406"/>
      <c r="N558" s="2415"/>
      <c r="O558" s="2406"/>
      <c r="P558" s="2406"/>
      <c r="Q558" s="2406"/>
      <c r="R558" s="2406"/>
      <c r="S558" s="1860"/>
      <c r="T558" s="1867"/>
      <c r="U558" s="1860"/>
      <c r="V558" s="1860"/>
      <c r="W558" s="1860"/>
      <c r="X558" s="1859"/>
      <c r="Y558" s="2422"/>
      <c r="Z558" s="2411"/>
      <c r="AA558" s="2406"/>
      <c r="AB558" s="2407"/>
      <c r="AC558" s="2406"/>
      <c r="AD558" s="2411"/>
      <c r="AE558" s="2412"/>
    </row>
    <row r="559" spans="1:31" s="1150" customFormat="1" ht="26.25" customHeight="1">
      <c r="A559" s="1130"/>
      <c r="B559" s="1130"/>
      <c r="C559" s="1117"/>
      <c r="D559" s="1117"/>
      <c r="E559" s="1117"/>
      <c r="F559" s="1117"/>
      <c r="G559" s="1117"/>
      <c r="H559" s="1130"/>
      <c r="I559" s="2432" t="s">
        <v>1659</v>
      </c>
      <c r="J559" s="1880" t="s">
        <v>1660</v>
      </c>
      <c r="K559" s="2406">
        <v>36</v>
      </c>
      <c r="L559" s="2411">
        <v>0</v>
      </c>
      <c r="M559" s="2406">
        <v>0</v>
      </c>
      <c r="N559" s="2415">
        <v>0</v>
      </c>
      <c r="O559" s="2406">
        <v>0</v>
      </c>
      <c r="P559" s="2406">
        <v>0</v>
      </c>
      <c r="Q559" s="2406">
        <v>0</v>
      </c>
      <c r="R559" s="2406">
        <v>0</v>
      </c>
      <c r="S559" s="2412"/>
      <c r="T559" s="2424"/>
      <c r="U559" s="2421"/>
      <c r="V559" s="2407"/>
      <c r="W559" s="2421"/>
      <c r="X559" s="2411"/>
      <c r="Y559" s="2422">
        <f>Q559+S559+U559+W559</f>
        <v>0</v>
      </c>
      <c r="Z559" s="2411">
        <f>R559+T559+V559+X559</f>
        <v>0</v>
      </c>
      <c r="AA559" s="2406">
        <f>M559+Y559</f>
        <v>0</v>
      </c>
      <c r="AB559" s="2407">
        <f>N559+Z559</f>
        <v>0</v>
      </c>
      <c r="AC559" s="2406">
        <f>AA559/K559*100</f>
        <v>0</v>
      </c>
      <c r="AD559" s="2411" t="e">
        <f>AB559/L559*100</f>
        <v>#DIV/0!</v>
      </c>
      <c r="AE559" s="2412" t="s">
        <v>1523</v>
      </c>
    </row>
    <row r="560" spans="1:31" s="1150" customFormat="1" ht="30.6" customHeight="1">
      <c r="A560" s="1130"/>
      <c r="B560" s="1130"/>
      <c r="C560" s="1117"/>
      <c r="D560" s="1117"/>
      <c r="E560" s="1117"/>
      <c r="F560" s="1117"/>
      <c r="G560" s="1117"/>
      <c r="H560" s="1130"/>
      <c r="I560" s="2432"/>
      <c r="J560" s="1880" t="s">
        <v>1661</v>
      </c>
      <c r="K560" s="2406"/>
      <c r="L560" s="2411"/>
      <c r="M560" s="2406"/>
      <c r="N560" s="2415"/>
      <c r="O560" s="2406"/>
      <c r="P560" s="2406"/>
      <c r="Q560" s="2406"/>
      <c r="R560" s="2406"/>
      <c r="S560" s="2412"/>
      <c r="T560" s="2424"/>
      <c r="U560" s="2412"/>
      <c r="V560" s="2412"/>
      <c r="W560" s="2412"/>
      <c r="X560" s="2411"/>
      <c r="Y560" s="2422"/>
      <c r="Z560" s="2411"/>
      <c r="AA560" s="2406"/>
      <c r="AB560" s="2407"/>
      <c r="AC560" s="2406"/>
      <c r="AD560" s="2411"/>
      <c r="AE560" s="2412"/>
    </row>
    <row r="561" spans="1:31" s="1150" customFormat="1" ht="14.1" customHeight="1">
      <c r="A561" s="1188"/>
      <c r="B561" s="1137"/>
      <c r="C561" s="1137"/>
      <c r="D561" s="1137"/>
      <c r="E561" s="1137"/>
      <c r="F561" s="1137"/>
      <c r="G561" s="1137"/>
      <c r="H561" s="1137"/>
      <c r="I561" s="2447"/>
      <c r="J561" s="2447"/>
      <c r="K561" s="2447">
        <f t="shared" ref="K561:R561" si="159">K451+K477+K507+K511+K523+K533+K540/7</f>
        <v>720.28571428571433</v>
      </c>
      <c r="L561" s="2448">
        <f t="shared" si="159"/>
        <v>17141221405.589788</v>
      </c>
      <c r="M561" s="2449">
        <f t="shared" si="159"/>
        <v>630.57142857142856</v>
      </c>
      <c r="N561" s="2448">
        <f t="shared" si="159"/>
        <v>1279413.1897142855</v>
      </c>
      <c r="O561" s="2447">
        <f t="shared" si="159"/>
        <v>316</v>
      </c>
      <c r="P561" s="2448">
        <f t="shared" si="159"/>
        <v>1660625583.2592502</v>
      </c>
      <c r="Q561" s="2450">
        <f t="shared" si="159"/>
        <v>15.142857142857142</v>
      </c>
      <c r="R561" s="2469">
        <f t="shared" si="159"/>
        <v>268800571.4285714</v>
      </c>
      <c r="S561" s="2451"/>
      <c r="T561" s="2470"/>
      <c r="U561" s="2451"/>
      <c r="V561" s="2451"/>
      <c r="W561" s="2451"/>
      <c r="X561" s="2451"/>
      <c r="Y561" s="2463">
        <f>Y451+Y477+Y507+Y511+Y523+Y533+Y540/7</f>
        <v>15.142857142857142</v>
      </c>
      <c r="Z561" s="2465">
        <f>Z451+Z477+Z507+Z511+Z523+Z533+Z540/7</f>
        <v>268800571.4285714</v>
      </c>
      <c r="AA561" s="2467">
        <f>AA451+AA477+AA507+AA511+AA523+AA533+AA540/7</f>
        <v>645.71428571428567</v>
      </c>
      <c r="AB561" s="2444">
        <f>AB451+AB477+AB507+AB511+AB522+AB533+AB540/7</f>
        <v>270079984.61828572</v>
      </c>
      <c r="AC561" s="2468">
        <f>AC451+AC477+AC507+AC511+AC523+AC533+AC540/7</f>
        <v>553.52427208102051</v>
      </c>
      <c r="AD561" s="2456">
        <f>AD451+AD477+AD507+AD511+AD522+AD533+AD540/7</f>
        <v>2479.295741241956</v>
      </c>
      <c r="AE561" s="2436"/>
    </row>
    <row r="562" spans="1:31" s="1150" customFormat="1" ht="14.1" customHeight="1">
      <c r="A562" s="1188"/>
      <c r="B562" s="1137"/>
      <c r="C562" s="1137"/>
      <c r="D562" s="1137"/>
      <c r="E562" s="1137"/>
      <c r="F562" s="1137"/>
      <c r="G562" s="1137"/>
      <c r="H562" s="1137"/>
      <c r="I562" s="1137"/>
      <c r="J562" s="1137"/>
      <c r="K562" s="2447"/>
      <c r="L562" s="2447"/>
      <c r="M562" s="2447"/>
      <c r="N562" s="2447"/>
      <c r="O562" s="2447"/>
      <c r="P562" s="2447"/>
      <c r="Q562" s="2451"/>
      <c r="R562" s="2469"/>
      <c r="S562" s="2451"/>
      <c r="T562" s="2470"/>
      <c r="U562" s="2451"/>
      <c r="V562" s="2451"/>
      <c r="W562" s="2451"/>
      <c r="X562" s="2451"/>
      <c r="Y562" s="2464"/>
      <c r="Z562" s="2466"/>
      <c r="AA562" s="2464"/>
      <c r="AB562" s="2464"/>
      <c r="AC562" s="2468"/>
      <c r="AD562" s="2457"/>
      <c r="AE562" s="2436"/>
    </row>
    <row r="563" spans="1:31" ht="22.5" customHeight="1">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382"/>
      <c r="Z563" s="56"/>
      <c r="AA563" s="56"/>
      <c r="AB563" s="56"/>
      <c r="AC563" s="56"/>
      <c r="AD563" s="56"/>
      <c r="AE563" s="56"/>
    </row>
    <row r="564" spans="1:31" s="69" customFormat="1" ht="56.25" customHeight="1">
      <c r="A564" s="67">
        <v>8</v>
      </c>
      <c r="B564" s="67"/>
      <c r="C564" s="67"/>
      <c r="D564" s="67"/>
      <c r="E564" s="67"/>
      <c r="F564" s="67"/>
      <c r="G564" s="67"/>
      <c r="H564" s="67"/>
      <c r="I564" s="68" t="s">
        <v>135</v>
      </c>
      <c r="J564" s="67"/>
      <c r="K564" s="67"/>
      <c r="L564" s="67"/>
      <c r="M564" s="67"/>
      <c r="N564" s="67"/>
      <c r="O564" s="67"/>
      <c r="P564" s="67"/>
      <c r="Q564" s="67"/>
      <c r="R564" s="67"/>
      <c r="S564" s="67"/>
      <c r="T564" s="67"/>
      <c r="U564" s="67"/>
      <c r="V564" s="67"/>
      <c r="W564" s="67"/>
      <c r="X564" s="67"/>
      <c r="Y564" s="366"/>
      <c r="Z564" s="67"/>
      <c r="AA564" s="67"/>
      <c r="AB564" s="67"/>
      <c r="AC564" s="67"/>
      <c r="AD564" s="67"/>
      <c r="AE564" s="67"/>
    </row>
    <row r="565" spans="1:31" ht="22.5" customHeight="1">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382"/>
      <c r="Z565" s="56"/>
      <c r="AA565" s="56"/>
      <c r="AB565" s="56"/>
      <c r="AC565" s="56"/>
      <c r="AD565" s="56"/>
      <c r="AE565" s="56"/>
    </row>
    <row r="566" spans="1:31" s="69" customFormat="1" ht="27.75" customHeight="1">
      <c r="A566" s="67">
        <v>9</v>
      </c>
      <c r="B566" s="67"/>
      <c r="C566" s="67"/>
      <c r="D566" s="67"/>
      <c r="E566" s="67"/>
      <c r="F566" s="67"/>
      <c r="G566" s="67"/>
      <c r="H566" s="67"/>
      <c r="I566" s="68" t="s">
        <v>136</v>
      </c>
      <c r="J566" s="67"/>
      <c r="K566" s="67"/>
      <c r="L566" s="67"/>
      <c r="M566" s="67"/>
      <c r="N566" s="67"/>
      <c r="O566" s="67"/>
      <c r="P566" s="67"/>
      <c r="Q566" s="67"/>
      <c r="R566" s="67"/>
      <c r="S566" s="67"/>
      <c r="T566" s="67"/>
      <c r="U566" s="67"/>
      <c r="V566" s="67"/>
      <c r="W566" s="67"/>
      <c r="X566" s="67"/>
      <c r="Y566" s="366"/>
      <c r="Z566" s="67"/>
      <c r="AA566" s="67"/>
      <c r="AB566" s="67"/>
      <c r="AC566" s="67"/>
      <c r="AD566" s="67"/>
      <c r="AE566" s="67"/>
    </row>
    <row r="567" spans="1:31" s="63" customFormat="1" ht="51">
      <c r="A567" s="1904">
        <v>1</v>
      </c>
      <c r="B567" s="1906" t="s">
        <v>438</v>
      </c>
      <c r="C567" s="1905">
        <v>1</v>
      </c>
      <c r="D567" s="1905" t="s">
        <v>65</v>
      </c>
      <c r="E567" s="1905" t="s">
        <v>196</v>
      </c>
      <c r="F567" s="1905" t="s">
        <v>66</v>
      </c>
      <c r="G567" s="1905" t="s">
        <v>66</v>
      </c>
      <c r="H567" s="1904"/>
      <c r="I567" s="383" t="s">
        <v>221</v>
      </c>
      <c r="J567" s="384" t="s">
        <v>439</v>
      </c>
      <c r="K567" s="385">
        <v>72</v>
      </c>
      <c r="L567" s="386">
        <f>SUM(L568:L577)</f>
        <v>720000</v>
      </c>
      <c r="M567" s="385">
        <v>24</v>
      </c>
      <c r="N567" s="386">
        <f>SUM(N568:N577)</f>
        <v>451143.50199999998</v>
      </c>
      <c r="O567" s="385">
        <v>12</v>
      </c>
      <c r="P567" s="386">
        <f>SUM(P568:P577)</f>
        <v>300631.33100000001</v>
      </c>
      <c r="Q567" s="385">
        <v>3</v>
      </c>
      <c r="R567" s="387">
        <f>SUM(R568:R577)</f>
        <v>89316.807000000001</v>
      </c>
      <c r="S567" s="385"/>
      <c r="T567" s="385"/>
      <c r="U567" s="385"/>
      <c r="V567" s="385"/>
      <c r="W567" s="385"/>
      <c r="X567" s="385"/>
      <c r="Y567" s="1904">
        <v>3</v>
      </c>
      <c r="Z567" s="387">
        <f>R567+T567+V567+X567</f>
        <v>89316.807000000001</v>
      </c>
      <c r="AA567" s="385">
        <f>Y567+M567</f>
        <v>27</v>
      </c>
      <c r="AB567" s="386">
        <f>N567+Z567</f>
        <v>540460.30900000001</v>
      </c>
      <c r="AC567" s="388">
        <v>25</v>
      </c>
      <c r="AD567" s="389">
        <f>AB567/L567*100</f>
        <v>75.063931805555555</v>
      </c>
      <c r="AE567" s="390" t="s">
        <v>440</v>
      </c>
    </row>
    <row r="568" spans="1:31" s="63" customFormat="1" ht="63.75">
      <c r="A568" s="391"/>
      <c r="B568" s="392"/>
      <c r="C568" s="393" t="s">
        <v>146</v>
      </c>
      <c r="D568" s="393" t="s">
        <v>65</v>
      </c>
      <c r="E568" s="393" t="s">
        <v>196</v>
      </c>
      <c r="F568" s="393" t="s">
        <v>66</v>
      </c>
      <c r="G568" s="394" t="s">
        <v>66</v>
      </c>
      <c r="H568" s="393" t="s">
        <v>65</v>
      </c>
      <c r="I568" s="392" t="s">
        <v>147</v>
      </c>
      <c r="J568" s="395" t="s">
        <v>441</v>
      </c>
      <c r="K568" s="396">
        <v>72</v>
      </c>
      <c r="L568" s="397">
        <v>90000</v>
      </c>
      <c r="M568" s="396">
        <v>24</v>
      </c>
      <c r="N568" s="397">
        <v>58509.35</v>
      </c>
      <c r="O568" s="396">
        <v>12</v>
      </c>
      <c r="P568" s="397">
        <v>45480</v>
      </c>
      <c r="Q568" s="396">
        <v>3</v>
      </c>
      <c r="R568" s="398">
        <v>9347.3870000000006</v>
      </c>
      <c r="S568" s="396"/>
      <c r="T568" s="396"/>
      <c r="U568" s="396"/>
      <c r="V568" s="396"/>
      <c r="W568" s="396"/>
      <c r="X568" s="396"/>
      <c r="Y568" s="391">
        <f>Q568+S568+U568+W568</f>
        <v>3</v>
      </c>
      <c r="Z568" s="398">
        <f>R568+T568+V568+X568</f>
        <v>9347.3870000000006</v>
      </c>
      <c r="AA568" s="396">
        <f>M568+Y568</f>
        <v>27</v>
      </c>
      <c r="AB568" s="399">
        <f t="shared" ref="AB568:AB577" si="160">N568+Z568</f>
        <v>67856.736999999994</v>
      </c>
      <c r="AC568" s="400">
        <f>AA568/K568*100</f>
        <v>37.5</v>
      </c>
      <c r="AD568" s="401">
        <f t="shared" ref="AD568:AD608" si="161">AB568/L568*100</f>
        <v>75.396374444444433</v>
      </c>
      <c r="AE568" s="396"/>
    </row>
    <row r="569" spans="1:31" s="63" customFormat="1" ht="63.75">
      <c r="A569" s="402"/>
      <c r="B569" s="1910"/>
      <c r="C569" s="403" t="s">
        <v>146</v>
      </c>
      <c r="D569" s="403" t="s">
        <v>65</v>
      </c>
      <c r="E569" s="403" t="s">
        <v>196</v>
      </c>
      <c r="F569" s="403" t="s">
        <v>66</v>
      </c>
      <c r="G569" s="404" t="s">
        <v>66</v>
      </c>
      <c r="H569" s="403" t="s">
        <v>198</v>
      </c>
      <c r="I569" s="1910" t="s">
        <v>148</v>
      </c>
      <c r="J569" s="405" t="s">
        <v>442</v>
      </c>
      <c r="K569" s="406">
        <v>72</v>
      </c>
      <c r="L569" s="407">
        <v>80000</v>
      </c>
      <c r="M569" s="406">
        <v>24</v>
      </c>
      <c r="N569" s="407">
        <v>51500</v>
      </c>
      <c r="O569" s="406">
        <v>12</v>
      </c>
      <c r="P569" s="407">
        <v>77850</v>
      </c>
      <c r="Q569" s="406">
        <v>3</v>
      </c>
      <c r="R569" s="408">
        <v>8750</v>
      </c>
      <c r="S569" s="406"/>
      <c r="T569" s="406"/>
      <c r="U569" s="406"/>
      <c r="V569" s="406"/>
      <c r="W569" s="406"/>
      <c r="X569" s="406"/>
      <c r="Y569" s="402">
        <f t="shared" ref="Y569:Z595" si="162">Q569+S569+U569+W569</f>
        <v>3</v>
      </c>
      <c r="Z569" s="408">
        <f t="shared" si="162"/>
        <v>8750</v>
      </c>
      <c r="AA569" s="396">
        <f t="shared" ref="AA569:AA577" si="163">M569+Y569</f>
        <v>27</v>
      </c>
      <c r="AB569" s="407">
        <f t="shared" si="160"/>
        <v>60250</v>
      </c>
      <c r="AC569" s="400">
        <f t="shared" ref="AC569:AC608" si="164">AA569/K569*100</f>
        <v>37.5</v>
      </c>
      <c r="AD569" s="409">
        <f t="shared" si="161"/>
        <v>75.3125</v>
      </c>
      <c r="AE569" s="406"/>
    </row>
    <row r="570" spans="1:31" s="63" customFormat="1" ht="36" customHeight="1">
      <c r="A570" s="402"/>
      <c r="B570" s="1910"/>
      <c r="C570" s="403" t="s">
        <v>146</v>
      </c>
      <c r="D570" s="403" t="s">
        <v>65</v>
      </c>
      <c r="E570" s="403" t="s">
        <v>196</v>
      </c>
      <c r="F570" s="403" t="s">
        <v>66</v>
      </c>
      <c r="G570" s="404" t="s">
        <v>66</v>
      </c>
      <c r="H570" s="403" t="s">
        <v>202</v>
      </c>
      <c r="I570" s="1910" t="s">
        <v>150</v>
      </c>
      <c r="J570" s="1910" t="s">
        <v>443</v>
      </c>
      <c r="K570" s="406">
        <v>72</v>
      </c>
      <c r="L570" s="407">
        <v>50000</v>
      </c>
      <c r="M570" s="406">
        <v>24</v>
      </c>
      <c r="N570" s="407">
        <v>36563</v>
      </c>
      <c r="O570" s="406">
        <v>12</v>
      </c>
      <c r="P570" s="407">
        <v>19407.631000000001</v>
      </c>
      <c r="Q570" s="406">
        <v>3</v>
      </c>
      <c r="R570" s="408">
        <v>8418.42</v>
      </c>
      <c r="S570" s="406"/>
      <c r="T570" s="406"/>
      <c r="U570" s="406"/>
      <c r="V570" s="406"/>
      <c r="W570" s="406"/>
      <c r="X570" s="406"/>
      <c r="Y570" s="402">
        <f t="shared" si="162"/>
        <v>3</v>
      </c>
      <c r="Z570" s="408">
        <f t="shared" si="162"/>
        <v>8418.42</v>
      </c>
      <c r="AA570" s="396">
        <f t="shared" si="163"/>
        <v>27</v>
      </c>
      <c r="AB570" s="407">
        <f t="shared" si="160"/>
        <v>44981.42</v>
      </c>
      <c r="AC570" s="400">
        <f t="shared" si="164"/>
        <v>37.5</v>
      </c>
      <c r="AD570" s="409">
        <f t="shared" si="161"/>
        <v>89.96284</v>
      </c>
      <c r="AE570" s="406"/>
    </row>
    <row r="571" spans="1:31" s="63" customFormat="1" ht="66" customHeight="1">
      <c r="A571" s="402"/>
      <c r="B571" s="1910"/>
      <c r="C571" s="403" t="s">
        <v>146</v>
      </c>
      <c r="D571" s="403" t="s">
        <v>65</v>
      </c>
      <c r="E571" s="403" t="s">
        <v>196</v>
      </c>
      <c r="F571" s="403" t="s">
        <v>66</v>
      </c>
      <c r="G571" s="404" t="s">
        <v>66</v>
      </c>
      <c r="H571" s="403" t="s">
        <v>417</v>
      </c>
      <c r="I571" s="1910" t="s">
        <v>151</v>
      </c>
      <c r="J571" s="1910" t="s">
        <v>444</v>
      </c>
      <c r="K571" s="406">
        <v>72</v>
      </c>
      <c r="L571" s="407">
        <v>60000</v>
      </c>
      <c r="M571" s="406">
        <v>24</v>
      </c>
      <c r="N571" s="407">
        <v>30392</v>
      </c>
      <c r="O571" s="406">
        <v>12</v>
      </c>
      <c r="P571" s="407">
        <v>20589.7</v>
      </c>
      <c r="Q571" s="406">
        <v>3</v>
      </c>
      <c r="R571" s="408">
        <v>3995.5</v>
      </c>
      <c r="S571" s="406"/>
      <c r="T571" s="406"/>
      <c r="U571" s="406"/>
      <c r="V571" s="406"/>
      <c r="W571" s="406"/>
      <c r="X571" s="406"/>
      <c r="Y571" s="402">
        <f t="shared" si="162"/>
        <v>3</v>
      </c>
      <c r="Z571" s="408">
        <f t="shared" si="162"/>
        <v>3995.5</v>
      </c>
      <c r="AA571" s="396">
        <f t="shared" si="163"/>
        <v>27</v>
      </c>
      <c r="AB571" s="407">
        <f t="shared" si="160"/>
        <v>34387.5</v>
      </c>
      <c r="AC571" s="400">
        <f t="shared" si="164"/>
        <v>37.5</v>
      </c>
      <c r="AD571" s="409">
        <f t="shared" si="161"/>
        <v>57.3125</v>
      </c>
      <c r="AE571" s="406"/>
    </row>
    <row r="572" spans="1:31" s="63" customFormat="1" ht="51">
      <c r="A572" s="402"/>
      <c r="B572" s="1910"/>
      <c r="C572" s="403" t="s">
        <v>146</v>
      </c>
      <c r="D572" s="403" t="s">
        <v>65</v>
      </c>
      <c r="E572" s="403" t="s">
        <v>196</v>
      </c>
      <c r="F572" s="403" t="s">
        <v>66</v>
      </c>
      <c r="G572" s="404" t="s">
        <v>66</v>
      </c>
      <c r="H572" s="403" t="s">
        <v>160</v>
      </c>
      <c r="I572" s="1910" t="s">
        <v>152</v>
      </c>
      <c r="J572" s="1910" t="s">
        <v>445</v>
      </c>
      <c r="K572" s="406">
        <v>72</v>
      </c>
      <c r="L572" s="407">
        <v>10000</v>
      </c>
      <c r="M572" s="406">
        <v>24</v>
      </c>
      <c r="N572" s="407">
        <v>3112.5</v>
      </c>
      <c r="O572" s="406">
        <v>12</v>
      </c>
      <c r="P572" s="407">
        <v>5124</v>
      </c>
      <c r="Q572" s="406">
        <v>3</v>
      </c>
      <c r="R572" s="408">
        <v>493</v>
      </c>
      <c r="S572" s="406"/>
      <c r="T572" s="406"/>
      <c r="U572" s="406"/>
      <c r="V572" s="406"/>
      <c r="W572" s="406"/>
      <c r="X572" s="406"/>
      <c r="Y572" s="402">
        <f t="shared" si="162"/>
        <v>3</v>
      </c>
      <c r="Z572" s="408">
        <f t="shared" si="162"/>
        <v>493</v>
      </c>
      <c r="AA572" s="396">
        <f t="shared" si="163"/>
        <v>27</v>
      </c>
      <c r="AB572" s="407">
        <f t="shared" si="160"/>
        <v>3605.5</v>
      </c>
      <c r="AC572" s="400">
        <f t="shared" si="164"/>
        <v>37.5</v>
      </c>
      <c r="AD572" s="409">
        <f t="shared" si="161"/>
        <v>36.055</v>
      </c>
      <c r="AE572" s="406"/>
    </row>
    <row r="573" spans="1:31" s="63" customFormat="1" ht="63.75" customHeight="1">
      <c r="A573" s="402"/>
      <c r="B573" s="1910"/>
      <c r="C573" s="403" t="s">
        <v>146</v>
      </c>
      <c r="D573" s="403" t="s">
        <v>65</v>
      </c>
      <c r="E573" s="403" t="s">
        <v>196</v>
      </c>
      <c r="F573" s="403" t="s">
        <v>66</v>
      </c>
      <c r="G573" s="404" t="s">
        <v>66</v>
      </c>
      <c r="H573" s="403" t="s">
        <v>391</v>
      </c>
      <c r="I573" s="1910" t="s">
        <v>149</v>
      </c>
      <c r="J573" s="1910" t="s">
        <v>446</v>
      </c>
      <c r="K573" s="406">
        <v>72</v>
      </c>
      <c r="L573" s="407">
        <v>80000</v>
      </c>
      <c r="M573" s="406">
        <v>24</v>
      </c>
      <c r="N573" s="407">
        <v>43175.5</v>
      </c>
      <c r="O573" s="406">
        <v>12</v>
      </c>
      <c r="P573" s="407">
        <v>44050</v>
      </c>
      <c r="Q573" s="406">
        <v>3</v>
      </c>
      <c r="R573" s="408">
        <v>7825</v>
      </c>
      <c r="S573" s="406"/>
      <c r="T573" s="406"/>
      <c r="U573" s="406"/>
      <c r="V573" s="406"/>
      <c r="W573" s="406"/>
      <c r="X573" s="406"/>
      <c r="Y573" s="402">
        <f t="shared" si="162"/>
        <v>3</v>
      </c>
      <c r="Z573" s="408">
        <f t="shared" si="162"/>
        <v>7825</v>
      </c>
      <c r="AA573" s="396">
        <f t="shared" si="163"/>
        <v>27</v>
      </c>
      <c r="AB573" s="407">
        <f t="shared" si="160"/>
        <v>51000.5</v>
      </c>
      <c r="AC573" s="400">
        <f t="shared" si="164"/>
        <v>37.5</v>
      </c>
      <c r="AD573" s="409">
        <f t="shared" si="161"/>
        <v>63.750625000000007</v>
      </c>
      <c r="AE573" s="406"/>
    </row>
    <row r="574" spans="1:31" s="63" customFormat="1" ht="63.75">
      <c r="A574" s="402"/>
      <c r="B574" s="1910"/>
      <c r="C574" s="403" t="s">
        <v>146</v>
      </c>
      <c r="D574" s="403" t="s">
        <v>65</v>
      </c>
      <c r="E574" s="403" t="s">
        <v>196</v>
      </c>
      <c r="F574" s="403" t="s">
        <v>66</v>
      </c>
      <c r="G574" s="1899" t="s">
        <v>66</v>
      </c>
      <c r="H574" s="403" t="s">
        <v>155</v>
      </c>
      <c r="I574" s="1910" t="s">
        <v>156</v>
      </c>
      <c r="J574" s="1910" t="s">
        <v>447</v>
      </c>
      <c r="K574" s="406">
        <v>72</v>
      </c>
      <c r="L574" s="407">
        <v>10000</v>
      </c>
      <c r="M574" s="406">
        <v>24</v>
      </c>
      <c r="N574" s="407">
        <v>8435</v>
      </c>
      <c r="O574" s="406">
        <v>12</v>
      </c>
      <c r="P574" s="407">
        <v>2600</v>
      </c>
      <c r="Q574" s="406">
        <v>3</v>
      </c>
      <c r="R574" s="408">
        <v>460</v>
      </c>
      <c r="S574" s="406"/>
      <c r="T574" s="406"/>
      <c r="U574" s="406"/>
      <c r="V574" s="406"/>
      <c r="W574" s="406"/>
      <c r="X574" s="406"/>
      <c r="Y574" s="402">
        <f t="shared" si="162"/>
        <v>3</v>
      </c>
      <c r="Z574" s="408">
        <f t="shared" si="162"/>
        <v>460</v>
      </c>
      <c r="AA574" s="396">
        <f t="shared" si="163"/>
        <v>27</v>
      </c>
      <c r="AB574" s="407">
        <f t="shared" si="160"/>
        <v>8895</v>
      </c>
      <c r="AC574" s="400">
        <f t="shared" si="164"/>
        <v>37.5</v>
      </c>
      <c r="AD574" s="409">
        <f t="shared" si="161"/>
        <v>88.949999999999989</v>
      </c>
      <c r="AE574" s="406"/>
    </row>
    <row r="575" spans="1:31" s="63" customFormat="1" ht="38.25">
      <c r="A575" s="402"/>
      <c r="B575" s="1910"/>
      <c r="C575" s="403" t="s">
        <v>146</v>
      </c>
      <c r="D575" s="403" t="s">
        <v>65</v>
      </c>
      <c r="E575" s="403" t="s">
        <v>196</v>
      </c>
      <c r="F575" s="403" t="s">
        <v>66</v>
      </c>
      <c r="G575" s="410" t="s">
        <v>66</v>
      </c>
      <c r="H575" s="403" t="s">
        <v>448</v>
      </c>
      <c r="I575" s="1910" t="s">
        <v>157</v>
      </c>
      <c r="J575" s="1910" t="s">
        <v>449</v>
      </c>
      <c r="K575" s="406">
        <v>72</v>
      </c>
      <c r="L575" s="407">
        <v>25000</v>
      </c>
      <c r="M575" s="406">
        <v>24</v>
      </c>
      <c r="N575" s="407">
        <v>19387.5</v>
      </c>
      <c r="O575" s="406">
        <v>12</v>
      </c>
      <c r="P575" s="407">
        <v>14630</v>
      </c>
      <c r="Q575" s="406">
        <v>3</v>
      </c>
      <c r="R575" s="408">
        <v>2767.5</v>
      </c>
      <c r="S575" s="406"/>
      <c r="T575" s="406"/>
      <c r="U575" s="406"/>
      <c r="V575" s="406"/>
      <c r="W575" s="406"/>
      <c r="X575" s="406"/>
      <c r="Y575" s="402">
        <f t="shared" si="162"/>
        <v>3</v>
      </c>
      <c r="Z575" s="408">
        <f t="shared" si="162"/>
        <v>2767.5</v>
      </c>
      <c r="AA575" s="396">
        <f t="shared" si="163"/>
        <v>27</v>
      </c>
      <c r="AB575" s="407">
        <f t="shared" si="160"/>
        <v>22155</v>
      </c>
      <c r="AC575" s="400">
        <f t="shared" si="164"/>
        <v>37.5</v>
      </c>
      <c r="AD575" s="409">
        <f t="shared" si="161"/>
        <v>88.62</v>
      </c>
      <c r="AE575" s="406"/>
    </row>
    <row r="576" spans="1:31" s="63" customFormat="1" ht="63.75">
      <c r="A576" s="402"/>
      <c r="B576" s="1910"/>
      <c r="C576" s="403" t="s">
        <v>146</v>
      </c>
      <c r="D576" s="403" t="s">
        <v>65</v>
      </c>
      <c r="E576" s="403" t="s">
        <v>196</v>
      </c>
      <c r="F576" s="403" t="s">
        <v>66</v>
      </c>
      <c r="G576" s="410" t="s">
        <v>66</v>
      </c>
      <c r="H576" s="403" t="s">
        <v>167</v>
      </c>
      <c r="I576" s="1910" t="s">
        <v>158</v>
      </c>
      <c r="J576" s="1910" t="s">
        <v>450</v>
      </c>
      <c r="K576" s="406">
        <v>72</v>
      </c>
      <c r="L576" s="407">
        <v>180000</v>
      </c>
      <c r="M576" s="406">
        <v>24</v>
      </c>
      <c r="N576" s="407">
        <v>124083.652</v>
      </c>
      <c r="O576" s="406">
        <v>12</v>
      </c>
      <c r="P576" s="407">
        <v>42825</v>
      </c>
      <c r="Q576" s="406">
        <v>3</v>
      </c>
      <c r="R576" s="408">
        <v>32590</v>
      </c>
      <c r="S576" s="406"/>
      <c r="T576" s="406"/>
      <c r="U576" s="406"/>
      <c r="V576" s="406"/>
      <c r="W576" s="406"/>
      <c r="X576" s="406"/>
      <c r="Y576" s="402">
        <f t="shared" si="162"/>
        <v>3</v>
      </c>
      <c r="Z576" s="408">
        <f t="shared" si="162"/>
        <v>32590</v>
      </c>
      <c r="AA576" s="396">
        <f t="shared" si="163"/>
        <v>27</v>
      </c>
      <c r="AB576" s="407">
        <f t="shared" si="160"/>
        <v>156673.652</v>
      </c>
      <c r="AC576" s="400">
        <f t="shared" si="164"/>
        <v>37.5</v>
      </c>
      <c r="AD576" s="409">
        <f t="shared" si="161"/>
        <v>87.040917777777778</v>
      </c>
      <c r="AE576" s="406"/>
    </row>
    <row r="577" spans="1:31" s="63" customFormat="1" ht="63.75">
      <c r="A577" s="411"/>
      <c r="B577" s="412"/>
      <c r="C577" s="413" t="s">
        <v>146</v>
      </c>
      <c r="D577" s="413" t="s">
        <v>65</v>
      </c>
      <c r="E577" s="413" t="s">
        <v>196</v>
      </c>
      <c r="F577" s="413" t="s">
        <v>66</v>
      </c>
      <c r="G577" s="394" t="s">
        <v>66</v>
      </c>
      <c r="H577" s="413" t="s">
        <v>376</v>
      </c>
      <c r="I577" s="412" t="s">
        <v>159</v>
      </c>
      <c r="J577" s="412" t="s">
        <v>451</v>
      </c>
      <c r="K577" s="414">
        <v>72</v>
      </c>
      <c r="L577" s="415">
        <v>135000</v>
      </c>
      <c r="M577" s="414">
        <v>24</v>
      </c>
      <c r="N577" s="415">
        <v>75985</v>
      </c>
      <c r="O577" s="414">
        <v>12</v>
      </c>
      <c r="P577" s="415">
        <v>28075</v>
      </c>
      <c r="Q577" s="414">
        <v>3</v>
      </c>
      <c r="R577" s="416">
        <v>14670</v>
      </c>
      <c r="S577" s="414"/>
      <c r="T577" s="414"/>
      <c r="U577" s="414"/>
      <c r="V577" s="414"/>
      <c r="W577" s="414"/>
      <c r="X577" s="414"/>
      <c r="Y577" s="411">
        <f t="shared" si="162"/>
        <v>3</v>
      </c>
      <c r="Z577" s="408">
        <f t="shared" si="162"/>
        <v>14670</v>
      </c>
      <c r="AA577" s="396">
        <f t="shared" si="163"/>
        <v>27</v>
      </c>
      <c r="AB577" s="417">
        <f t="shared" si="160"/>
        <v>90655</v>
      </c>
      <c r="AC577" s="418">
        <f t="shared" si="164"/>
        <v>37.5</v>
      </c>
      <c r="AD577" s="419">
        <f t="shared" si="161"/>
        <v>67.151851851851845</v>
      </c>
      <c r="AE577" s="414"/>
    </row>
    <row r="578" spans="1:31" s="63" customFormat="1" ht="63.75">
      <c r="A578" s="1904">
        <v>2</v>
      </c>
      <c r="B578" s="420" t="s">
        <v>452</v>
      </c>
      <c r="C578" s="421" t="s">
        <v>146</v>
      </c>
      <c r="D578" s="421" t="s">
        <v>65</v>
      </c>
      <c r="E578" s="421" t="s">
        <v>196</v>
      </c>
      <c r="F578" s="421" t="s">
        <v>66</v>
      </c>
      <c r="G578" s="421" t="s">
        <v>65</v>
      </c>
      <c r="H578" s="421"/>
      <c r="I578" s="1906" t="s">
        <v>257</v>
      </c>
      <c r="J578" s="1906" t="s">
        <v>453</v>
      </c>
      <c r="K578" s="422">
        <v>100</v>
      </c>
      <c r="L578" s="386">
        <f>SUM(L579:L582)</f>
        <v>2120000</v>
      </c>
      <c r="M578" s="385">
        <v>33</v>
      </c>
      <c r="N578" s="386">
        <f>SUM(N579:N582)</f>
        <v>319770.75</v>
      </c>
      <c r="O578" s="385">
        <v>16</v>
      </c>
      <c r="P578" s="386">
        <f>SUM(P580+P581+P582+P579)</f>
        <v>159162.5</v>
      </c>
      <c r="Q578" s="386">
        <v>6</v>
      </c>
      <c r="R578" s="386">
        <f>SUM(R580+R581+R582+R579)</f>
        <v>25710.799999999999</v>
      </c>
      <c r="S578" s="385"/>
      <c r="T578" s="385"/>
      <c r="U578" s="385"/>
      <c r="V578" s="385"/>
      <c r="W578" s="385"/>
      <c r="X578" s="385"/>
      <c r="Y578" s="1904">
        <v>3</v>
      </c>
      <c r="Z578" s="387">
        <f>R578</f>
        <v>25710.799999999999</v>
      </c>
      <c r="AA578" s="385">
        <f>M578+Y578</f>
        <v>36</v>
      </c>
      <c r="AB578" s="386">
        <f>N578+Z578</f>
        <v>345481.55</v>
      </c>
      <c r="AC578" s="388">
        <f t="shared" si="164"/>
        <v>36</v>
      </c>
      <c r="AD578" s="389">
        <f t="shared" si="161"/>
        <v>16.296299528301887</v>
      </c>
      <c r="AE578" s="384" t="s">
        <v>440</v>
      </c>
    </row>
    <row r="579" spans="1:31" s="63" customFormat="1" ht="38.25">
      <c r="A579" s="391"/>
      <c r="B579" s="423"/>
      <c r="C579" s="393" t="s">
        <v>146</v>
      </c>
      <c r="D579" s="393" t="s">
        <v>65</v>
      </c>
      <c r="E579" s="393" t="s">
        <v>196</v>
      </c>
      <c r="F579" s="424" t="s">
        <v>66</v>
      </c>
      <c r="G579" s="424" t="s">
        <v>65</v>
      </c>
      <c r="H579" s="393" t="s">
        <v>201</v>
      </c>
      <c r="I579" s="392" t="s">
        <v>454</v>
      </c>
      <c r="J579" s="392" t="s">
        <v>455</v>
      </c>
      <c r="K579" s="425">
        <v>60</v>
      </c>
      <c r="L579" s="397">
        <f>300000*6</f>
        <v>1800000</v>
      </c>
      <c r="M579" s="396">
        <v>23</v>
      </c>
      <c r="N579" s="397">
        <v>136827</v>
      </c>
      <c r="O579" s="396">
        <v>2</v>
      </c>
      <c r="P579" s="397">
        <v>13000</v>
      </c>
      <c r="Q579" s="396">
        <v>0</v>
      </c>
      <c r="R579" s="398">
        <v>0</v>
      </c>
      <c r="S579" s="396"/>
      <c r="T579" s="396"/>
      <c r="U579" s="396"/>
      <c r="V579" s="396"/>
      <c r="W579" s="396"/>
      <c r="X579" s="396"/>
      <c r="Y579" s="391">
        <f t="shared" si="162"/>
        <v>0</v>
      </c>
      <c r="Z579" s="398">
        <v>0</v>
      </c>
      <c r="AA579" s="426">
        <f>M579+Y579</f>
        <v>23</v>
      </c>
      <c r="AB579" s="399">
        <f>N579+Z579</f>
        <v>136827</v>
      </c>
      <c r="AC579" s="400">
        <f t="shared" si="164"/>
        <v>38.333333333333336</v>
      </c>
      <c r="AD579" s="401">
        <f t="shared" si="161"/>
        <v>7.6014999999999997</v>
      </c>
      <c r="AE579" s="396"/>
    </row>
    <row r="580" spans="1:31" s="63" customFormat="1" ht="38.25">
      <c r="A580" s="402"/>
      <c r="B580" s="427"/>
      <c r="C580" s="403" t="s">
        <v>146</v>
      </c>
      <c r="D580" s="403" t="s">
        <v>65</v>
      </c>
      <c r="E580" s="403" t="s">
        <v>196</v>
      </c>
      <c r="F580" s="428" t="s">
        <v>66</v>
      </c>
      <c r="G580" s="428" t="s">
        <v>65</v>
      </c>
      <c r="H580" s="403" t="s">
        <v>163</v>
      </c>
      <c r="I580" s="1910" t="s">
        <v>258</v>
      </c>
      <c r="J580" s="1910" t="s">
        <v>456</v>
      </c>
      <c r="K580" s="429">
        <v>72</v>
      </c>
      <c r="L580" s="407">
        <v>150000</v>
      </c>
      <c r="M580" s="406">
        <v>24</v>
      </c>
      <c r="N580" s="407">
        <v>63955</v>
      </c>
      <c r="O580" s="406">
        <v>12</v>
      </c>
      <c r="P580" s="407">
        <v>36000</v>
      </c>
      <c r="Q580" s="406">
        <v>30</v>
      </c>
      <c r="R580" s="408">
        <v>5435</v>
      </c>
      <c r="S580" s="406"/>
      <c r="T580" s="406"/>
      <c r="U580" s="406"/>
      <c r="V580" s="406"/>
      <c r="W580" s="406"/>
      <c r="X580" s="406"/>
      <c r="Y580" s="402">
        <f t="shared" si="162"/>
        <v>30</v>
      </c>
      <c r="Z580" s="398">
        <f t="shared" ref="Z580:Z582" si="165">R580</f>
        <v>5435</v>
      </c>
      <c r="AA580" s="406">
        <f t="shared" ref="AA580:AB582" si="166">M580+Y580</f>
        <v>54</v>
      </c>
      <c r="AB580" s="407">
        <f t="shared" si="166"/>
        <v>69390</v>
      </c>
      <c r="AC580" s="400">
        <f t="shared" si="164"/>
        <v>75</v>
      </c>
      <c r="AD580" s="409">
        <f t="shared" si="161"/>
        <v>46.26</v>
      </c>
      <c r="AE580" s="406"/>
    </row>
    <row r="581" spans="1:31" s="63" customFormat="1" ht="76.5">
      <c r="A581" s="402"/>
      <c r="B581" s="427"/>
      <c r="C581" s="403" t="s">
        <v>146</v>
      </c>
      <c r="D581" s="403" t="s">
        <v>65</v>
      </c>
      <c r="E581" s="403" t="s">
        <v>196</v>
      </c>
      <c r="F581" s="403" t="s">
        <v>66</v>
      </c>
      <c r="G581" s="403" t="s">
        <v>65</v>
      </c>
      <c r="H581" s="403" t="s">
        <v>165</v>
      </c>
      <c r="I581" s="1910" t="s">
        <v>457</v>
      </c>
      <c r="J581" s="1910" t="s">
        <v>458</v>
      </c>
      <c r="K581" s="429">
        <v>72</v>
      </c>
      <c r="L581" s="407">
        <v>150000</v>
      </c>
      <c r="M581" s="406">
        <v>24</v>
      </c>
      <c r="N581" s="407">
        <v>100788.75</v>
      </c>
      <c r="O581" s="406">
        <v>12</v>
      </c>
      <c r="P581" s="407">
        <v>99312.5</v>
      </c>
      <c r="Q581" s="406">
        <v>30</v>
      </c>
      <c r="R581" s="407">
        <v>19624.8</v>
      </c>
      <c r="S581" s="406"/>
      <c r="T581" s="406"/>
      <c r="U581" s="406"/>
      <c r="V581" s="406"/>
      <c r="W581" s="406"/>
      <c r="X581" s="406"/>
      <c r="Y581" s="402">
        <f t="shared" si="162"/>
        <v>30</v>
      </c>
      <c r="Z581" s="398">
        <f t="shared" si="165"/>
        <v>19624.8</v>
      </c>
      <c r="AA581" s="406">
        <f t="shared" si="166"/>
        <v>54</v>
      </c>
      <c r="AB581" s="407">
        <f t="shared" si="166"/>
        <v>120413.55</v>
      </c>
      <c r="AC581" s="400">
        <f t="shared" si="164"/>
        <v>75</v>
      </c>
      <c r="AD581" s="409">
        <f t="shared" si="161"/>
        <v>80.275700000000001</v>
      </c>
      <c r="AE581" s="406"/>
    </row>
    <row r="582" spans="1:31" s="63" customFormat="1" ht="38.25">
      <c r="A582" s="402"/>
      <c r="B582" s="427"/>
      <c r="C582" s="403" t="s">
        <v>146</v>
      </c>
      <c r="D582" s="403" t="s">
        <v>65</v>
      </c>
      <c r="E582" s="403" t="s">
        <v>196</v>
      </c>
      <c r="F582" s="430" t="s">
        <v>66</v>
      </c>
      <c r="G582" s="430" t="s">
        <v>65</v>
      </c>
      <c r="H582" s="403" t="s">
        <v>459</v>
      </c>
      <c r="I582" s="1910" t="s">
        <v>225</v>
      </c>
      <c r="J582" s="1910" t="s">
        <v>460</v>
      </c>
      <c r="K582" s="429">
        <v>72</v>
      </c>
      <c r="L582" s="407">
        <v>20000</v>
      </c>
      <c r="M582" s="406">
        <v>24</v>
      </c>
      <c r="N582" s="407">
        <v>18200</v>
      </c>
      <c r="O582" s="406">
        <v>12</v>
      </c>
      <c r="P582" s="407">
        <v>10850</v>
      </c>
      <c r="Q582" s="406">
        <v>30</v>
      </c>
      <c r="R582" s="408">
        <v>651</v>
      </c>
      <c r="S582" s="406"/>
      <c r="T582" s="406"/>
      <c r="U582" s="406"/>
      <c r="V582" s="406"/>
      <c r="W582" s="406"/>
      <c r="X582" s="406"/>
      <c r="Y582" s="411">
        <v>3</v>
      </c>
      <c r="Z582" s="398">
        <f t="shared" si="165"/>
        <v>651</v>
      </c>
      <c r="AA582" s="431">
        <f t="shared" si="166"/>
        <v>27</v>
      </c>
      <c r="AB582" s="417">
        <f t="shared" si="166"/>
        <v>18851</v>
      </c>
      <c r="AC582" s="418">
        <f t="shared" si="164"/>
        <v>37.5</v>
      </c>
      <c r="AD582" s="432">
        <f t="shared" si="161"/>
        <v>94.254999999999995</v>
      </c>
      <c r="AE582" s="406"/>
    </row>
    <row r="583" spans="1:31" s="63" customFormat="1" ht="49.5" customHeight="1">
      <c r="A583" s="2458">
        <v>2</v>
      </c>
      <c r="B583" s="2452" t="s">
        <v>461</v>
      </c>
      <c r="C583" s="1899" t="s">
        <v>146</v>
      </c>
      <c r="D583" s="1899" t="s">
        <v>65</v>
      </c>
      <c r="E583" s="1899" t="s">
        <v>196</v>
      </c>
      <c r="F583" s="1899" t="s">
        <v>66</v>
      </c>
      <c r="G583" s="1899" t="s">
        <v>166</v>
      </c>
      <c r="H583" s="1899"/>
      <c r="I583" s="2339" t="s">
        <v>462</v>
      </c>
      <c r="J583" s="433" t="s">
        <v>463</v>
      </c>
      <c r="K583" s="433">
        <v>2400</v>
      </c>
      <c r="L583" s="434">
        <f>SUM(L585:L595)</f>
        <v>301680000</v>
      </c>
      <c r="M583" s="433">
        <v>3955</v>
      </c>
      <c r="N583" s="435">
        <f>SUM(N585:N595)</f>
        <v>751712.93900000001</v>
      </c>
      <c r="O583" s="433">
        <f>K583</f>
        <v>2400</v>
      </c>
      <c r="P583" s="436">
        <f>SUM(P585:P595)</f>
        <v>501386.32400000002</v>
      </c>
      <c r="Q583" s="437">
        <v>0</v>
      </c>
      <c r="R583" s="438">
        <f>R585+R586+R587+R588+R589+R590+R591+R593+R592+R594+R595</f>
        <v>58273</v>
      </c>
      <c r="S583" s="439"/>
      <c r="T583" s="439"/>
      <c r="U583" s="439"/>
      <c r="V583" s="439"/>
      <c r="W583" s="439"/>
      <c r="X583" s="439"/>
      <c r="Y583" s="1897">
        <v>0</v>
      </c>
      <c r="Z583" s="434">
        <f>R583+T583+V583+X583</f>
        <v>58273</v>
      </c>
      <c r="AA583" s="439">
        <v>2400</v>
      </c>
      <c r="AB583" s="434">
        <f>N583+Z583</f>
        <v>809985.93900000001</v>
      </c>
      <c r="AC583" s="440">
        <f>AA583/K583*100</f>
        <v>100</v>
      </c>
      <c r="AD583" s="441">
        <f>AB583/L583*100</f>
        <v>0.26849175914876688</v>
      </c>
      <c r="AE583" s="2461" t="s">
        <v>440</v>
      </c>
    </row>
    <row r="584" spans="1:31" s="63" customFormat="1" ht="65.25" customHeight="1">
      <c r="A584" s="2459"/>
      <c r="B584" s="2460"/>
      <c r="C584" s="1900"/>
      <c r="D584" s="1900"/>
      <c r="E584" s="1900"/>
      <c r="F584" s="1900"/>
      <c r="G584" s="1900"/>
      <c r="H584" s="1900"/>
      <c r="I584" s="2340"/>
      <c r="J584" s="58" t="s">
        <v>464</v>
      </c>
      <c r="K584" s="58">
        <v>63</v>
      </c>
      <c r="L584" s="60"/>
      <c r="M584" s="58">
        <v>77</v>
      </c>
      <c r="N584" s="442"/>
      <c r="O584" s="58">
        <v>63</v>
      </c>
      <c r="P584" s="61"/>
      <c r="Q584" s="443"/>
      <c r="R584" s="444"/>
      <c r="S584" s="59"/>
      <c r="T584" s="59"/>
      <c r="U584" s="59"/>
      <c r="V584" s="59"/>
      <c r="W584" s="59"/>
      <c r="X584" s="59"/>
      <c r="Y584" s="1898">
        <v>0</v>
      </c>
      <c r="Z584" s="60">
        <f>R584+T584+V584+X584</f>
        <v>0</v>
      </c>
      <c r="AA584" s="59">
        <v>63</v>
      </c>
      <c r="AB584" s="60">
        <f t="shared" ref="AB584:AB608" si="167">N584+Z584</f>
        <v>0</v>
      </c>
      <c r="AC584" s="445">
        <f>AA584/K584*100</f>
        <v>100</v>
      </c>
      <c r="AD584" s="62"/>
      <c r="AE584" s="2462"/>
    </row>
    <row r="585" spans="1:31" s="63" customFormat="1" ht="51">
      <c r="A585" s="391"/>
      <c r="B585" s="446"/>
      <c r="C585" s="394" t="s">
        <v>146</v>
      </c>
      <c r="D585" s="394" t="s">
        <v>65</v>
      </c>
      <c r="E585" s="394" t="s">
        <v>196</v>
      </c>
      <c r="F585" s="394" t="s">
        <v>66</v>
      </c>
      <c r="G585" s="447" t="s">
        <v>166</v>
      </c>
      <c r="H585" s="448" t="s">
        <v>66</v>
      </c>
      <c r="I585" s="449" t="s">
        <v>465</v>
      </c>
      <c r="J585" s="392" t="s">
        <v>466</v>
      </c>
      <c r="K585" s="395">
        <v>60</v>
      </c>
      <c r="L585" s="397">
        <f>50000000*6</f>
        <v>300000000</v>
      </c>
      <c r="M585" s="395">
        <v>11</v>
      </c>
      <c r="N585" s="450">
        <v>56158.92</v>
      </c>
      <c r="O585" s="395">
        <v>10</v>
      </c>
      <c r="P585" s="398">
        <v>42240.12</v>
      </c>
      <c r="Q585" s="451">
        <v>0</v>
      </c>
      <c r="R585" s="452">
        <v>1525</v>
      </c>
      <c r="S585" s="396"/>
      <c r="T585" s="396"/>
      <c r="U585" s="396"/>
      <c r="V585" s="396"/>
      <c r="W585" s="396"/>
      <c r="X585" s="396"/>
      <c r="Y585" s="391">
        <f t="shared" si="162"/>
        <v>0</v>
      </c>
      <c r="Z585" s="397">
        <f>R585</f>
        <v>1525</v>
      </c>
      <c r="AA585" s="426">
        <f>M585+Y585</f>
        <v>11</v>
      </c>
      <c r="AB585" s="399">
        <f t="shared" si="167"/>
        <v>57683.92</v>
      </c>
      <c r="AC585" s="400">
        <f t="shared" si="164"/>
        <v>18.333333333333332</v>
      </c>
      <c r="AD585" s="453">
        <f>AB585/L585*100</f>
        <v>1.9227973333333332E-2</v>
      </c>
      <c r="AE585" s="396"/>
    </row>
    <row r="586" spans="1:31" s="63" customFormat="1" ht="38.25">
      <c r="A586" s="402"/>
      <c r="B586" s="454"/>
      <c r="C586" s="410" t="s">
        <v>146</v>
      </c>
      <c r="D586" s="410" t="s">
        <v>65</v>
      </c>
      <c r="E586" s="410" t="s">
        <v>196</v>
      </c>
      <c r="F586" s="410" t="s">
        <v>66</v>
      </c>
      <c r="G586" s="455" t="s">
        <v>166</v>
      </c>
      <c r="H586" s="456" t="s">
        <v>396</v>
      </c>
      <c r="I586" s="457" t="s">
        <v>467</v>
      </c>
      <c r="J586" s="1910" t="s">
        <v>468</v>
      </c>
      <c r="K586" s="405">
        <v>14</v>
      </c>
      <c r="L586" s="407">
        <v>160000</v>
      </c>
      <c r="M586" s="405">
        <v>14</v>
      </c>
      <c r="N586" s="458">
        <v>80271.360000000001</v>
      </c>
      <c r="O586" s="405">
        <v>14</v>
      </c>
      <c r="P586" s="408">
        <v>29949.69</v>
      </c>
      <c r="Q586" s="459">
        <v>0</v>
      </c>
      <c r="R586" s="460">
        <v>5293</v>
      </c>
      <c r="S586" s="406"/>
      <c r="T586" s="406"/>
      <c r="U586" s="406"/>
      <c r="V586" s="406"/>
      <c r="W586" s="406"/>
      <c r="X586" s="406"/>
      <c r="Y586" s="402">
        <f t="shared" si="162"/>
        <v>0</v>
      </c>
      <c r="Z586" s="397">
        <f t="shared" ref="Z586:Z595" si="168">R586</f>
        <v>5293</v>
      </c>
      <c r="AA586" s="406">
        <f t="shared" ref="AA586:AA595" si="169">M586+Y586</f>
        <v>14</v>
      </c>
      <c r="AB586" s="407">
        <f t="shared" si="167"/>
        <v>85564.36</v>
      </c>
      <c r="AC586" s="400">
        <f t="shared" si="164"/>
        <v>100</v>
      </c>
      <c r="AD586" s="409">
        <f t="shared" si="161"/>
        <v>53.477725</v>
      </c>
      <c r="AE586" s="406"/>
    </row>
    <row r="587" spans="1:31" s="63" customFormat="1" ht="51">
      <c r="A587" s="402"/>
      <c r="B587" s="454"/>
      <c r="C587" s="410" t="s">
        <v>146</v>
      </c>
      <c r="D587" s="410" t="s">
        <v>65</v>
      </c>
      <c r="E587" s="410" t="s">
        <v>196</v>
      </c>
      <c r="F587" s="410" t="s">
        <v>66</v>
      </c>
      <c r="G587" s="455" t="s">
        <v>166</v>
      </c>
      <c r="H587" s="456" t="s">
        <v>469</v>
      </c>
      <c r="I587" s="457" t="s">
        <v>470</v>
      </c>
      <c r="J587" s="1910" t="s">
        <v>471</v>
      </c>
      <c r="K587" s="405">
        <v>23</v>
      </c>
      <c r="L587" s="407">
        <v>130000</v>
      </c>
      <c r="M587" s="405">
        <v>23</v>
      </c>
      <c r="N587" s="458">
        <v>54679.85</v>
      </c>
      <c r="O587" s="405">
        <v>23</v>
      </c>
      <c r="P587" s="408">
        <v>71889.895000000004</v>
      </c>
      <c r="Q587" s="459">
        <v>0</v>
      </c>
      <c r="R587" s="460">
        <v>6767.3</v>
      </c>
      <c r="S587" s="406"/>
      <c r="T587" s="406"/>
      <c r="U587" s="406"/>
      <c r="V587" s="406"/>
      <c r="W587" s="406"/>
      <c r="X587" s="406"/>
      <c r="Y587" s="402">
        <f t="shared" si="162"/>
        <v>0</v>
      </c>
      <c r="Z587" s="397">
        <f t="shared" si="168"/>
        <v>6767.3</v>
      </c>
      <c r="AA587" s="406">
        <f t="shared" si="169"/>
        <v>23</v>
      </c>
      <c r="AB587" s="407">
        <f t="shared" si="167"/>
        <v>61447.15</v>
      </c>
      <c r="AC587" s="400">
        <f t="shared" si="164"/>
        <v>100</v>
      </c>
      <c r="AD587" s="409">
        <f t="shared" si="161"/>
        <v>47.267038461538462</v>
      </c>
      <c r="AE587" s="406"/>
    </row>
    <row r="588" spans="1:31" s="63" customFormat="1" ht="89.25">
      <c r="A588" s="402"/>
      <c r="B588" s="454"/>
      <c r="C588" s="410" t="s">
        <v>146</v>
      </c>
      <c r="D588" s="410" t="s">
        <v>65</v>
      </c>
      <c r="E588" s="410" t="s">
        <v>196</v>
      </c>
      <c r="F588" s="410" t="s">
        <v>66</v>
      </c>
      <c r="G588" s="455" t="s">
        <v>166</v>
      </c>
      <c r="H588" s="456" t="s">
        <v>345</v>
      </c>
      <c r="I588" s="461" t="s">
        <v>472</v>
      </c>
      <c r="J588" s="457" t="s">
        <v>473</v>
      </c>
      <c r="K588" s="405">
        <v>15</v>
      </c>
      <c r="L588" s="407">
        <v>80000</v>
      </c>
      <c r="M588" s="405">
        <v>15</v>
      </c>
      <c r="N588" s="458">
        <v>45334.79</v>
      </c>
      <c r="O588" s="405">
        <v>15</v>
      </c>
      <c r="P588" s="408">
        <v>59586.760999999999</v>
      </c>
      <c r="Q588" s="459">
        <v>0</v>
      </c>
      <c r="R588" s="460">
        <v>4217</v>
      </c>
      <c r="S588" s="406"/>
      <c r="T588" s="406"/>
      <c r="U588" s="406"/>
      <c r="V588" s="406"/>
      <c r="W588" s="406"/>
      <c r="X588" s="406"/>
      <c r="Y588" s="402">
        <f t="shared" si="162"/>
        <v>0</v>
      </c>
      <c r="Z588" s="397">
        <f t="shared" si="168"/>
        <v>4217</v>
      </c>
      <c r="AA588" s="406">
        <f t="shared" si="169"/>
        <v>15</v>
      </c>
      <c r="AB588" s="407">
        <f t="shared" si="167"/>
        <v>49551.79</v>
      </c>
      <c r="AC588" s="400">
        <f t="shared" si="164"/>
        <v>100</v>
      </c>
      <c r="AD588" s="409">
        <f t="shared" si="161"/>
        <v>61.9397375</v>
      </c>
      <c r="AE588" s="406"/>
    </row>
    <row r="589" spans="1:31" s="63" customFormat="1" ht="63.75">
      <c r="A589" s="402"/>
      <c r="B589" s="454"/>
      <c r="C589" s="410" t="s">
        <v>146</v>
      </c>
      <c r="D589" s="410" t="s">
        <v>65</v>
      </c>
      <c r="E589" s="410" t="s">
        <v>196</v>
      </c>
      <c r="F589" s="410" t="s">
        <v>66</v>
      </c>
      <c r="G589" s="455" t="s">
        <v>166</v>
      </c>
      <c r="H589" s="456" t="s">
        <v>183</v>
      </c>
      <c r="I589" s="461" t="s">
        <v>474</v>
      </c>
      <c r="J589" s="457" t="s">
        <v>475</v>
      </c>
      <c r="K589" s="405">
        <v>100</v>
      </c>
      <c r="L589" s="407">
        <v>250000</v>
      </c>
      <c r="M589" s="405">
        <v>46.5</v>
      </c>
      <c r="N589" s="458">
        <v>84791.48</v>
      </c>
      <c r="O589" s="405">
        <v>6</v>
      </c>
      <c r="P589" s="408">
        <v>98189.418999999994</v>
      </c>
      <c r="Q589" s="459">
        <v>0</v>
      </c>
      <c r="R589" s="460">
        <v>7670.1</v>
      </c>
      <c r="S589" s="406"/>
      <c r="T589" s="406"/>
      <c r="U589" s="406"/>
      <c r="V589" s="406"/>
      <c r="W589" s="406"/>
      <c r="X589" s="406"/>
      <c r="Y589" s="402">
        <f t="shared" si="162"/>
        <v>0</v>
      </c>
      <c r="Z589" s="397">
        <f t="shared" si="168"/>
        <v>7670.1</v>
      </c>
      <c r="AA589" s="406">
        <f t="shared" si="169"/>
        <v>46.5</v>
      </c>
      <c r="AB589" s="407">
        <f t="shared" si="167"/>
        <v>92461.58</v>
      </c>
      <c r="AC589" s="400">
        <f t="shared" si="164"/>
        <v>46.5</v>
      </c>
      <c r="AD589" s="409">
        <f t="shared" si="161"/>
        <v>36.984631999999998</v>
      </c>
      <c r="AE589" s="406"/>
    </row>
    <row r="590" spans="1:31" s="63" customFormat="1" ht="38.25">
      <c r="A590" s="402"/>
      <c r="B590" s="454"/>
      <c r="C590" s="410" t="s">
        <v>146</v>
      </c>
      <c r="D590" s="410" t="s">
        <v>65</v>
      </c>
      <c r="E590" s="410" t="s">
        <v>196</v>
      </c>
      <c r="F590" s="410" t="s">
        <v>66</v>
      </c>
      <c r="G590" s="455" t="s">
        <v>166</v>
      </c>
      <c r="H590" s="456" t="s">
        <v>476</v>
      </c>
      <c r="I590" s="461" t="s">
        <v>477</v>
      </c>
      <c r="J590" s="457" t="s">
        <v>478</v>
      </c>
      <c r="K590" s="405">
        <v>6</v>
      </c>
      <c r="L590" s="407">
        <v>75000</v>
      </c>
      <c r="M590" s="405">
        <v>6</v>
      </c>
      <c r="N590" s="458">
        <v>36549.199999999997</v>
      </c>
      <c r="O590" s="405">
        <v>6</v>
      </c>
      <c r="P590" s="408">
        <v>32450.29</v>
      </c>
      <c r="Q590" s="459">
        <v>0</v>
      </c>
      <c r="R590" s="460">
        <v>6831.5</v>
      </c>
      <c r="S590" s="406"/>
      <c r="T590" s="406"/>
      <c r="U590" s="406"/>
      <c r="V590" s="406"/>
      <c r="W590" s="406"/>
      <c r="X590" s="406"/>
      <c r="Y590" s="402">
        <f t="shared" si="162"/>
        <v>0</v>
      </c>
      <c r="Z590" s="397">
        <f t="shared" si="168"/>
        <v>6831.5</v>
      </c>
      <c r="AA590" s="406">
        <f t="shared" si="169"/>
        <v>6</v>
      </c>
      <c r="AB590" s="407">
        <f t="shared" si="167"/>
        <v>43380.7</v>
      </c>
      <c r="AC590" s="400">
        <f t="shared" si="164"/>
        <v>100</v>
      </c>
      <c r="AD590" s="409">
        <f t="shared" si="161"/>
        <v>57.840933333333332</v>
      </c>
      <c r="AE590" s="406"/>
    </row>
    <row r="591" spans="1:31" s="63" customFormat="1" ht="51" customHeight="1">
      <c r="A591" s="402"/>
      <c r="B591" s="454"/>
      <c r="C591" s="410" t="s">
        <v>146</v>
      </c>
      <c r="D591" s="410" t="s">
        <v>65</v>
      </c>
      <c r="E591" s="410" t="s">
        <v>196</v>
      </c>
      <c r="F591" s="410" t="s">
        <v>66</v>
      </c>
      <c r="G591" s="455" t="s">
        <v>166</v>
      </c>
      <c r="H591" s="456" t="s">
        <v>479</v>
      </c>
      <c r="I591" s="461" t="s">
        <v>480</v>
      </c>
      <c r="J591" s="457" t="s">
        <v>481</v>
      </c>
      <c r="K591" s="405">
        <v>12</v>
      </c>
      <c r="L591" s="407">
        <v>300000</v>
      </c>
      <c r="M591" s="405">
        <v>2</v>
      </c>
      <c r="N591" s="458">
        <v>36549.199999999997</v>
      </c>
      <c r="O591" s="405">
        <v>2</v>
      </c>
      <c r="P591" s="408">
        <v>49163.281999999999</v>
      </c>
      <c r="Q591" s="459">
        <v>0</v>
      </c>
      <c r="R591" s="460">
        <v>4985.8</v>
      </c>
      <c r="S591" s="406"/>
      <c r="T591" s="406"/>
      <c r="U591" s="406"/>
      <c r="V591" s="406"/>
      <c r="W591" s="406"/>
      <c r="X591" s="406"/>
      <c r="Y591" s="402">
        <f t="shared" si="162"/>
        <v>0</v>
      </c>
      <c r="Z591" s="397">
        <f t="shared" si="168"/>
        <v>4985.8</v>
      </c>
      <c r="AA591" s="406">
        <f t="shared" si="169"/>
        <v>2</v>
      </c>
      <c r="AB591" s="407">
        <f t="shared" si="167"/>
        <v>41535</v>
      </c>
      <c r="AC591" s="400">
        <f t="shared" si="164"/>
        <v>16.666666666666664</v>
      </c>
      <c r="AD591" s="409">
        <f t="shared" si="161"/>
        <v>13.844999999999999</v>
      </c>
      <c r="AE591" s="406"/>
    </row>
    <row r="592" spans="1:31" s="63" customFormat="1" ht="48.75" customHeight="1">
      <c r="A592" s="411"/>
      <c r="B592" s="462"/>
      <c r="C592" s="410" t="s">
        <v>146</v>
      </c>
      <c r="D592" s="410" t="s">
        <v>65</v>
      </c>
      <c r="E592" s="410" t="s">
        <v>196</v>
      </c>
      <c r="F592" s="410" t="s">
        <v>66</v>
      </c>
      <c r="G592" s="455" t="s">
        <v>166</v>
      </c>
      <c r="H592" s="456" t="s">
        <v>482</v>
      </c>
      <c r="I592" s="463" t="s">
        <v>483</v>
      </c>
      <c r="J592" s="464" t="s">
        <v>484</v>
      </c>
      <c r="K592" s="465">
        <v>5</v>
      </c>
      <c r="L592" s="415">
        <v>50000</v>
      </c>
      <c r="M592" s="465">
        <v>0</v>
      </c>
      <c r="N592" s="466">
        <v>0</v>
      </c>
      <c r="O592" s="465">
        <v>1</v>
      </c>
      <c r="P592" s="416">
        <v>24175.5</v>
      </c>
      <c r="Q592" s="467">
        <v>0</v>
      </c>
      <c r="R592" s="468">
        <v>0</v>
      </c>
      <c r="S592" s="414"/>
      <c r="T592" s="414"/>
      <c r="U592" s="414"/>
      <c r="V592" s="414"/>
      <c r="W592" s="414"/>
      <c r="X592" s="414"/>
      <c r="Y592" s="402">
        <f t="shared" si="162"/>
        <v>0</v>
      </c>
      <c r="Z592" s="397">
        <f t="shared" si="168"/>
        <v>0</v>
      </c>
      <c r="AA592" s="406">
        <f t="shared" si="169"/>
        <v>0</v>
      </c>
      <c r="AB592" s="407">
        <f t="shared" si="167"/>
        <v>0</v>
      </c>
      <c r="AC592" s="400">
        <f t="shared" si="164"/>
        <v>0</v>
      </c>
      <c r="AD592" s="409">
        <f t="shared" si="161"/>
        <v>0</v>
      </c>
      <c r="AE592" s="414"/>
    </row>
    <row r="593" spans="1:31" s="63" customFormat="1" ht="68.25" customHeight="1">
      <c r="A593" s="411"/>
      <c r="B593" s="462"/>
      <c r="C593" s="469" t="s">
        <v>146</v>
      </c>
      <c r="D593" s="469" t="s">
        <v>65</v>
      </c>
      <c r="E593" s="469" t="s">
        <v>196</v>
      </c>
      <c r="F593" s="469" t="s">
        <v>66</v>
      </c>
      <c r="G593" s="470" t="s">
        <v>166</v>
      </c>
      <c r="H593" s="471" t="s">
        <v>485</v>
      </c>
      <c r="I593" s="463" t="s">
        <v>486</v>
      </c>
      <c r="J593" s="464" t="s">
        <v>487</v>
      </c>
      <c r="K593" s="465">
        <v>5</v>
      </c>
      <c r="L593" s="415">
        <v>200000</v>
      </c>
      <c r="M593" s="465">
        <v>5</v>
      </c>
      <c r="N593" s="466">
        <v>29568.138999999999</v>
      </c>
      <c r="O593" s="465">
        <v>5</v>
      </c>
      <c r="P593" s="416">
        <v>26277.699000000001</v>
      </c>
      <c r="Q593" s="467">
        <v>1</v>
      </c>
      <c r="R593" s="472">
        <v>10121.1</v>
      </c>
      <c r="S593" s="414"/>
      <c r="T593" s="414"/>
      <c r="U593" s="414"/>
      <c r="V593" s="414"/>
      <c r="W593" s="414"/>
      <c r="X593" s="414"/>
      <c r="Y593" s="402">
        <f t="shared" si="162"/>
        <v>1</v>
      </c>
      <c r="Z593" s="397">
        <f t="shared" si="168"/>
        <v>10121.1</v>
      </c>
      <c r="AA593" s="406">
        <f t="shared" si="169"/>
        <v>6</v>
      </c>
      <c r="AB593" s="407">
        <f t="shared" si="167"/>
        <v>39689.239000000001</v>
      </c>
      <c r="AC593" s="400">
        <f t="shared" si="164"/>
        <v>120</v>
      </c>
      <c r="AD593" s="409">
        <f t="shared" si="161"/>
        <v>19.8446195</v>
      </c>
      <c r="AE593" s="414"/>
    </row>
    <row r="594" spans="1:31" s="475" customFormat="1" ht="38.25">
      <c r="A594" s="405"/>
      <c r="B594" s="473"/>
      <c r="C594" s="410">
        <v>1</v>
      </c>
      <c r="D594" s="410" t="s">
        <v>65</v>
      </c>
      <c r="E594" s="410" t="s">
        <v>196</v>
      </c>
      <c r="F594" s="410" t="s">
        <v>66</v>
      </c>
      <c r="G594" s="455" t="s">
        <v>166</v>
      </c>
      <c r="H594" s="456" t="s">
        <v>488</v>
      </c>
      <c r="I594" s="461" t="s">
        <v>489</v>
      </c>
      <c r="J594" s="457" t="s">
        <v>490</v>
      </c>
      <c r="K594" s="405">
        <v>6</v>
      </c>
      <c r="L594" s="474">
        <v>250000</v>
      </c>
      <c r="M594" s="405">
        <v>1</v>
      </c>
      <c r="N594" s="474">
        <f>64810+98000</f>
        <v>162810</v>
      </c>
      <c r="O594" s="405">
        <v>4</v>
      </c>
      <c r="P594" s="474">
        <v>36680.584999999999</v>
      </c>
      <c r="Q594" s="405">
        <v>0</v>
      </c>
      <c r="R594" s="474">
        <v>9351.7000000000007</v>
      </c>
      <c r="S594" s="405"/>
      <c r="T594" s="405"/>
      <c r="U594" s="405"/>
      <c r="V594" s="405"/>
      <c r="W594" s="405"/>
      <c r="X594" s="405"/>
      <c r="Y594" s="402">
        <f t="shared" si="162"/>
        <v>0</v>
      </c>
      <c r="Z594" s="397">
        <f t="shared" si="168"/>
        <v>9351.7000000000007</v>
      </c>
      <c r="AA594" s="406">
        <f t="shared" si="169"/>
        <v>1</v>
      </c>
      <c r="AB594" s="407">
        <f t="shared" si="167"/>
        <v>172161.7</v>
      </c>
      <c r="AC594" s="400">
        <f t="shared" si="164"/>
        <v>16.666666666666664</v>
      </c>
      <c r="AD594" s="409">
        <f t="shared" si="161"/>
        <v>68.864680000000007</v>
      </c>
      <c r="AE594" s="406"/>
    </row>
    <row r="595" spans="1:31" s="63" customFormat="1" ht="38.25">
      <c r="A595" s="431"/>
      <c r="B595" s="476"/>
      <c r="C595" s="477" t="s">
        <v>146</v>
      </c>
      <c r="D595" s="477" t="s">
        <v>65</v>
      </c>
      <c r="E595" s="477" t="s">
        <v>196</v>
      </c>
      <c r="F595" s="477" t="s">
        <v>66</v>
      </c>
      <c r="G595" s="478" t="s">
        <v>166</v>
      </c>
      <c r="H595" s="479" t="s">
        <v>491</v>
      </c>
      <c r="I595" s="480" t="s">
        <v>492</v>
      </c>
      <c r="J595" s="481" t="s">
        <v>493</v>
      </c>
      <c r="K595" s="476">
        <v>72</v>
      </c>
      <c r="L595" s="482">
        <v>185000</v>
      </c>
      <c r="M595" s="476">
        <v>24</v>
      </c>
      <c r="N595" s="482">
        <f>165000</f>
        <v>165000</v>
      </c>
      <c r="O595" s="476">
        <v>27</v>
      </c>
      <c r="P595" s="482">
        <v>30783.082999999999</v>
      </c>
      <c r="Q595" s="476">
        <v>3</v>
      </c>
      <c r="R595" s="482">
        <v>1510.5</v>
      </c>
      <c r="S595" s="476"/>
      <c r="T595" s="476"/>
      <c r="U595" s="476"/>
      <c r="V595" s="476"/>
      <c r="W595" s="476"/>
      <c r="X595" s="476"/>
      <c r="Y595" s="402">
        <f t="shared" si="162"/>
        <v>3</v>
      </c>
      <c r="Z595" s="397">
        <f t="shared" si="168"/>
        <v>1510.5</v>
      </c>
      <c r="AA595" s="431">
        <f t="shared" si="169"/>
        <v>27</v>
      </c>
      <c r="AB595" s="417">
        <f t="shared" si="167"/>
        <v>166510.5</v>
      </c>
      <c r="AC595" s="418">
        <f t="shared" si="164"/>
        <v>37.5</v>
      </c>
      <c r="AD595" s="432">
        <f>AB595/L595*100</f>
        <v>90.005675675675676</v>
      </c>
      <c r="AE595" s="431"/>
    </row>
    <row r="596" spans="1:31" s="63" customFormat="1" ht="24" customHeight="1">
      <c r="A596" s="426" t="s">
        <v>494</v>
      </c>
      <c r="B596" s="2339" t="s">
        <v>495</v>
      </c>
      <c r="C596" s="404" t="s">
        <v>146</v>
      </c>
      <c r="D596" s="404" t="s">
        <v>65</v>
      </c>
      <c r="E596" s="404" t="s">
        <v>196</v>
      </c>
      <c r="F596" s="404" t="s">
        <v>66</v>
      </c>
      <c r="G596" s="404" t="s">
        <v>448</v>
      </c>
      <c r="H596" s="483"/>
      <c r="I596" s="2339" t="s">
        <v>496</v>
      </c>
      <c r="J596" s="2452" t="s">
        <v>497</v>
      </c>
      <c r="K596" s="484">
        <v>2150</v>
      </c>
      <c r="L596" s="485">
        <f>SUM(L597:L608)</f>
        <v>2900000</v>
      </c>
      <c r="M596" s="484">
        <v>2377</v>
      </c>
      <c r="N596" s="485">
        <f>SUM(N599:N608)</f>
        <v>1014662.9930000001</v>
      </c>
      <c r="O596" s="484"/>
      <c r="P596" s="485">
        <f>SUM(P599:P608)</f>
        <v>1248134.3929999999</v>
      </c>
      <c r="Q596" s="485">
        <v>0</v>
      </c>
      <c r="R596" s="485">
        <f>SUM(R599:R608)</f>
        <v>69499.5</v>
      </c>
      <c r="S596" s="484"/>
      <c r="T596" s="484"/>
      <c r="U596" s="484"/>
      <c r="V596" s="484"/>
      <c r="W596" s="484"/>
      <c r="X596" s="484"/>
      <c r="Y596" s="1911">
        <f>Q596+S596+U596+W596</f>
        <v>0</v>
      </c>
      <c r="Z596" s="485">
        <f>R596</f>
        <v>69499.5</v>
      </c>
      <c r="AA596" s="426">
        <f>M596</f>
        <v>2377</v>
      </c>
      <c r="AB596" s="399">
        <f>N596+Z596</f>
        <v>1084162.4930000002</v>
      </c>
      <c r="AC596" s="486">
        <f t="shared" si="164"/>
        <v>110.55813953488371</v>
      </c>
      <c r="AD596" s="401">
        <f>AB596/L596*100</f>
        <v>37.384913551724146</v>
      </c>
      <c r="AE596" s="2454" t="s">
        <v>440</v>
      </c>
    </row>
    <row r="597" spans="1:31" s="63" customFormat="1" ht="27.75" customHeight="1">
      <c r="A597" s="406"/>
      <c r="B597" s="2383"/>
      <c r="C597" s="410"/>
      <c r="D597" s="410"/>
      <c r="E597" s="410"/>
      <c r="F597" s="410"/>
      <c r="G597" s="410"/>
      <c r="H597" s="403"/>
      <c r="I597" s="2383"/>
      <c r="J597" s="2453"/>
      <c r="K597" s="405"/>
      <c r="L597" s="474"/>
      <c r="M597" s="405"/>
      <c r="N597" s="474"/>
      <c r="O597" s="405"/>
      <c r="P597" s="474"/>
      <c r="Q597" s="405"/>
      <c r="R597" s="474"/>
      <c r="S597" s="405"/>
      <c r="T597" s="405"/>
      <c r="U597" s="405"/>
      <c r="V597" s="405"/>
      <c r="W597" s="405"/>
      <c r="X597" s="405"/>
      <c r="Y597" s="1912"/>
      <c r="Z597" s="474"/>
      <c r="AA597" s="406"/>
      <c r="AB597" s="407"/>
      <c r="AC597" s="487"/>
      <c r="AD597" s="409"/>
      <c r="AE597" s="2455"/>
    </row>
    <row r="598" spans="1:31" s="63" customFormat="1" ht="25.5">
      <c r="A598" s="431"/>
      <c r="B598" s="2340"/>
      <c r="C598" s="477"/>
      <c r="D598" s="477"/>
      <c r="E598" s="477"/>
      <c r="F598" s="477"/>
      <c r="G598" s="477"/>
      <c r="H598" s="488"/>
      <c r="I598" s="2340"/>
      <c r="J598" s="1913" t="s">
        <v>498</v>
      </c>
      <c r="K598" s="476">
        <v>57</v>
      </c>
      <c r="L598" s="482"/>
      <c r="M598" s="476">
        <v>63</v>
      </c>
      <c r="N598" s="482"/>
      <c r="O598" s="476"/>
      <c r="P598" s="482"/>
      <c r="Q598" s="476"/>
      <c r="R598" s="482"/>
      <c r="S598" s="476"/>
      <c r="T598" s="476"/>
      <c r="U598" s="476"/>
      <c r="V598" s="476"/>
      <c r="W598" s="476"/>
      <c r="X598" s="476"/>
      <c r="Y598" s="490"/>
      <c r="Z598" s="482"/>
      <c r="AA598" s="431">
        <f>M598</f>
        <v>63</v>
      </c>
      <c r="AB598" s="417">
        <f t="shared" ref="AB598" si="170">N598+Z598</f>
        <v>0</v>
      </c>
      <c r="AC598" s="489">
        <f>AA598/K598*100</f>
        <v>110.5263157894737</v>
      </c>
      <c r="AD598" s="432"/>
      <c r="AE598" s="490"/>
    </row>
    <row r="599" spans="1:31" s="63" customFormat="1" ht="51">
      <c r="A599" s="396"/>
      <c r="B599" s="395"/>
      <c r="C599" s="394" t="s">
        <v>146</v>
      </c>
      <c r="D599" s="394" t="s">
        <v>65</v>
      </c>
      <c r="E599" s="394" t="s">
        <v>196</v>
      </c>
      <c r="F599" s="394" t="s">
        <v>66</v>
      </c>
      <c r="G599" s="394" t="s">
        <v>448</v>
      </c>
      <c r="H599" s="393" t="s">
        <v>161</v>
      </c>
      <c r="I599" s="392" t="s">
        <v>499</v>
      </c>
      <c r="J599" s="392" t="s">
        <v>500</v>
      </c>
      <c r="K599" s="395">
        <v>18</v>
      </c>
      <c r="L599" s="491">
        <v>500000</v>
      </c>
      <c r="M599" s="395">
        <v>3</v>
      </c>
      <c r="N599" s="491">
        <v>234638.62700000001</v>
      </c>
      <c r="O599" s="395">
        <v>3</v>
      </c>
      <c r="P599" s="491">
        <v>397945.38400000002</v>
      </c>
      <c r="Q599" s="395">
        <v>0</v>
      </c>
      <c r="R599" s="491">
        <v>7158.7</v>
      </c>
      <c r="S599" s="395"/>
      <c r="T599" s="395"/>
      <c r="U599" s="395"/>
      <c r="V599" s="395"/>
      <c r="W599" s="395"/>
      <c r="X599" s="395"/>
      <c r="Y599" s="563">
        <f>Q599+S599+U599+W599</f>
        <v>0</v>
      </c>
      <c r="Z599" s="491">
        <f>R599</f>
        <v>7158.7</v>
      </c>
      <c r="AA599" s="396">
        <f>M599+Y599</f>
        <v>3</v>
      </c>
      <c r="AB599" s="397">
        <f>N599+Z599</f>
        <v>241797.32700000002</v>
      </c>
      <c r="AC599" s="400">
        <f>AA599/K599*100</f>
        <v>16.666666666666664</v>
      </c>
      <c r="AD599" s="453">
        <f t="shared" si="161"/>
        <v>48.359465400000005</v>
      </c>
      <c r="AE599" s="396"/>
    </row>
    <row r="600" spans="1:31" s="63" customFormat="1" ht="51">
      <c r="A600" s="406"/>
      <c r="B600" s="405"/>
      <c r="C600" s="410" t="s">
        <v>146</v>
      </c>
      <c r="D600" s="410" t="s">
        <v>65</v>
      </c>
      <c r="E600" s="410" t="s">
        <v>196</v>
      </c>
      <c r="F600" s="410" t="s">
        <v>66</v>
      </c>
      <c r="G600" s="410" t="s">
        <v>448</v>
      </c>
      <c r="H600" s="403" t="s">
        <v>197</v>
      </c>
      <c r="I600" s="1910" t="s">
        <v>501</v>
      </c>
      <c r="J600" s="1910" t="s">
        <v>502</v>
      </c>
      <c r="K600" s="492">
        <v>60</v>
      </c>
      <c r="L600" s="474">
        <v>250000</v>
      </c>
      <c r="M600" s="405">
        <v>20</v>
      </c>
      <c r="N600" s="474">
        <v>50226.8</v>
      </c>
      <c r="O600" s="405">
        <v>10</v>
      </c>
      <c r="P600" s="474">
        <v>134718.359</v>
      </c>
      <c r="Q600" s="405">
        <v>0</v>
      </c>
      <c r="R600" s="474">
        <v>11554.8</v>
      </c>
      <c r="S600" s="405"/>
      <c r="T600" s="405"/>
      <c r="U600" s="405"/>
      <c r="V600" s="405"/>
      <c r="W600" s="405"/>
      <c r="X600" s="405"/>
      <c r="Y600" s="563">
        <f t="shared" ref="Y600:Y608" si="171">Q600+S600+U600+W600</f>
        <v>0</v>
      </c>
      <c r="Z600" s="491">
        <f t="shared" ref="Z600:Z608" si="172">R600</f>
        <v>11554.8</v>
      </c>
      <c r="AA600" s="396">
        <f t="shared" ref="AA600:AA608" si="173">M600+Y600</f>
        <v>20</v>
      </c>
      <c r="AB600" s="407">
        <f t="shared" si="167"/>
        <v>61781.600000000006</v>
      </c>
      <c r="AC600" s="400">
        <f t="shared" si="164"/>
        <v>33.333333333333329</v>
      </c>
      <c r="AD600" s="409">
        <f t="shared" si="161"/>
        <v>24.712640000000004</v>
      </c>
      <c r="AE600" s="406"/>
    </row>
    <row r="601" spans="1:31" s="63" customFormat="1" ht="38.25">
      <c r="A601" s="406"/>
      <c r="B601" s="405"/>
      <c r="C601" s="410" t="s">
        <v>146</v>
      </c>
      <c r="D601" s="410" t="s">
        <v>65</v>
      </c>
      <c r="E601" s="410" t="s">
        <v>196</v>
      </c>
      <c r="F601" s="410" t="s">
        <v>66</v>
      </c>
      <c r="G601" s="410" t="s">
        <v>448</v>
      </c>
      <c r="H601" s="403" t="s">
        <v>198</v>
      </c>
      <c r="I601" s="1910" t="s">
        <v>503</v>
      </c>
      <c r="J601" s="1910" t="s">
        <v>504</v>
      </c>
      <c r="K601" s="405">
        <v>18</v>
      </c>
      <c r="L601" s="474">
        <v>500000</v>
      </c>
      <c r="M601" s="405">
        <v>3</v>
      </c>
      <c r="N601" s="474">
        <v>78200.62</v>
      </c>
      <c r="O601" s="405">
        <v>3</v>
      </c>
      <c r="P601" s="474">
        <v>72524.831999999995</v>
      </c>
      <c r="Q601" s="405">
        <v>0</v>
      </c>
      <c r="R601" s="474">
        <v>2039.5</v>
      </c>
      <c r="S601" s="405"/>
      <c r="T601" s="405"/>
      <c r="U601" s="405"/>
      <c r="V601" s="405"/>
      <c r="W601" s="405"/>
      <c r="X601" s="405"/>
      <c r="Y601" s="563">
        <f t="shared" si="171"/>
        <v>0</v>
      </c>
      <c r="Z601" s="491">
        <f t="shared" si="172"/>
        <v>2039.5</v>
      </c>
      <c r="AA601" s="396">
        <f t="shared" si="173"/>
        <v>3</v>
      </c>
      <c r="AB601" s="407">
        <f t="shared" si="167"/>
        <v>80240.12</v>
      </c>
      <c r="AC601" s="400">
        <f t="shared" si="164"/>
        <v>16.666666666666664</v>
      </c>
      <c r="AD601" s="409">
        <f t="shared" si="161"/>
        <v>16.048023999999998</v>
      </c>
      <c r="AE601" s="406"/>
    </row>
    <row r="602" spans="1:31" s="63" customFormat="1" ht="51">
      <c r="A602" s="406"/>
      <c r="B602" s="405"/>
      <c r="C602" s="410" t="s">
        <v>146</v>
      </c>
      <c r="D602" s="410" t="s">
        <v>65</v>
      </c>
      <c r="E602" s="410" t="s">
        <v>196</v>
      </c>
      <c r="F602" s="410" t="s">
        <v>66</v>
      </c>
      <c r="G602" s="410" t="s">
        <v>448</v>
      </c>
      <c r="H602" s="403" t="s">
        <v>93</v>
      </c>
      <c r="I602" s="1910" t="s">
        <v>505</v>
      </c>
      <c r="J602" s="1910" t="s">
        <v>506</v>
      </c>
      <c r="K602" s="405">
        <v>6</v>
      </c>
      <c r="L602" s="474">
        <v>100000</v>
      </c>
      <c r="M602" s="405">
        <v>1</v>
      </c>
      <c r="N602" s="474">
        <v>38154.241999999998</v>
      </c>
      <c r="O602" s="405">
        <v>1</v>
      </c>
      <c r="P602" s="474">
        <v>26033.521000000001</v>
      </c>
      <c r="Q602" s="405">
        <v>0</v>
      </c>
      <c r="R602" s="474">
        <v>500</v>
      </c>
      <c r="S602" s="405"/>
      <c r="T602" s="405"/>
      <c r="U602" s="405"/>
      <c r="V602" s="405"/>
      <c r="W602" s="405"/>
      <c r="X602" s="405"/>
      <c r="Y602" s="563">
        <f t="shared" si="171"/>
        <v>0</v>
      </c>
      <c r="Z602" s="491">
        <f t="shared" si="172"/>
        <v>500</v>
      </c>
      <c r="AA602" s="396">
        <f t="shared" si="173"/>
        <v>1</v>
      </c>
      <c r="AB602" s="407">
        <f t="shared" si="167"/>
        <v>38654.241999999998</v>
      </c>
      <c r="AC602" s="400">
        <f t="shared" si="164"/>
        <v>16.666666666666664</v>
      </c>
      <c r="AD602" s="409">
        <f t="shared" si="161"/>
        <v>38.654241999999996</v>
      </c>
      <c r="AE602" s="406"/>
    </row>
    <row r="603" spans="1:31" s="63" customFormat="1" ht="51">
      <c r="A603" s="406"/>
      <c r="B603" s="405"/>
      <c r="C603" s="410" t="s">
        <v>146</v>
      </c>
      <c r="D603" s="410" t="s">
        <v>65</v>
      </c>
      <c r="E603" s="410" t="s">
        <v>196</v>
      </c>
      <c r="F603" s="410" t="s">
        <v>66</v>
      </c>
      <c r="G603" s="410" t="s">
        <v>448</v>
      </c>
      <c r="H603" s="403" t="s">
        <v>448</v>
      </c>
      <c r="I603" s="1910" t="s">
        <v>507</v>
      </c>
      <c r="J603" s="1910" t="s">
        <v>508</v>
      </c>
      <c r="K603" s="405">
        <v>6</v>
      </c>
      <c r="L603" s="474">
        <v>150000</v>
      </c>
      <c r="M603" s="405">
        <v>1</v>
      </c>
      <c r="N603" s="474">
        <v>96433.240999999995</v>
      </c>
      <c r="O603" s="405">
        <v>1</v>
      </c>
      <c r="P603" s="474">
        <v>107538.25900000001</v>
      </c>
      <c r="Q603" s="405">
        <v>0</v>
      </c>
      <c r="R603" s="474">
        <v>1352</v>
      </c>
      <c r="S603" s="405"/>
      <c r="T603" s="405"/>
      <c r="U603" s="405"/>
      <c r="V603" s="405"/>
      <c r="W603" s="405"/>
      <c r="X603" s="405"/>
      <c r="Y603" s="563">
        <f t="shared" si="171"/>
        <v>0</v>
      </c>
      <c r="Z603" s="491">
        <f t="shared" si="172"/>
        <v>1352</v>
      </c>
      <c r="AA603" s="396">
        <f t="shared" si="173"/>
        <v>1</v>
      </c>
      <c r="AB603" s="407">
        <f t="shared" si="167"/>
        <v>97785.240999999995</v>
      </c>
      <c r="AC603" s="400">
        <f t="shared" si="164"/>
        <v>16.666666666666664</v>
      </c>
      <c r="AD603" s="409">
        <f t="shared" si="161"/>
        <v>65.190160666666657</v>
      </c>
      <c r="AE603" s="406"/>
    </row>
    <row r="604" spans="1:31" s="63" customFormat="1" ht="38.25">
      <c r="A604" s="406"/>
      <c r="B604" s="405"/>
      <c r="C604" s="410" t="s">
        <v>146</v>
      </c>
      <c r="D604" s="410" t="s">
        <v>65</v>
      </c>
      <c r="E604" s="410" t="s">
        <v>196</v>
      </c>
      <c r="F604" s="410" t="s">
        <v>66</v>
      </c>
      <c r="G604" s="410" t="s">
        <v>448</v>
      </c>
      <c r="H604" s="403" t="s">
        <v>163</v>
      </c>
      <c r="I604" s="1910" t="s">
        <v>509</v>
      </c>
      <c r="J604" s="1910" t="s">
        <v>510</v>
      </c>
      <c r="K604" s="405">
        <v>12</v>
      </c>
      <c r="L604" s="474">
        <v>350000</v>
      </c>
      <c r="M604" s="405">
        <v>2</v>
      </c>
      <c r="N604" s="474">
        <v>42315.74</v>
      </c>
      <c r="O604" s="405">
        <v>2</v>
      </c>
      <c r="P604" s="474">
        <v>90476.68</v>
      </c>
      <c r="Q604" s="405">
        <v>0</v>
      </c>
      <c r="R604" s="474">
        <v>15814.9</v>
      </c>
      <c r="S604" s="405"/>
      <c r="T604" s="405"/>
      <c r="U604" s="405"/>
      <c r="V604" s="405"/>
      <c r="W604" s="405"/>
      <c r="X604" s="405"/>
      <c r="Y604" s="563">
        <f t="shared" si="171"/>
        <v>0</v>
      </c>
      <c r="Z604" s="491">
        <f t="shared" si="172"/>
        <v>15814.9</v>
      </c>
      <c r="AA604" s="396">
        <f t="shared" si="173"/>
        <v>2</v>
      </c>
      <c r="AB604" s="407">
        <f t="shared" si="167"/>
        <v>58130.64</v>
      </c>
      <c r="AC604" s="400">
        <f t="shared" si="164"/>
        <v>16.666666666666664</v>
      </c>
      <c r="AD604" s="409">
        <f t="shared" si="161"/>
        <v>16.608754285714287</v>
      </c>
      <c r="AE604" s="406"/>
    </row>
    <row r="605" spans="1:31" s="63" customFormat="1" ht="38.25">
      <c r="A605" s="406"/>
      <c r="B605" s="405"/>
      <c r="C605" s="410" t="s">
        <v>146</v>
      </c>
      <c r="D605" s="410" t="s">
        <v>65</v>
      </c>
      <c r="E605" s="410" t="s">
        <v>196</v>
      </c>
      <c r="F605" s="410" t="s">
        <v>66</v>
      </c>
      <c r="G605" s="410" t="s">
        <v>448</v>
      </c>
      <c r="H605" s="403" t="s">
        <v>360</v>
      </c>
      <c r="I605" s="1910" t="s">
        <v>511</v>
      </c>
      <c r="J605" s="1910" t="s">
        <v>512</v>
      </c>
      <c r="K605" s="405">
        <v>100</v>
      </c>
      <c r="L605" s="474">
        <v>100000</v>
      </c>
      <c r="M605" s="405">
        <v>20</v>
      </c>
      <c r="N605" s="474">
        <v>37715.919999999998</v>
      </c>
      <c r="O605" s="405">
        <v>20</v>
      </c>
      <c r="P605" s="474">
        <v>35281.968000000001</v>
      </c>
      <c r="Q605" s="405">
        <v>0</v>
      </c>
      <c r="R605" s="474">
        <v>0</v>
      </c>
      <c r="S605" s="405"/>
      <c r="T605" s="405"/>
      <c r="U605" s="405"/>
      <c r="V605" s="405"/>
      <c r="W605" s="405"/>
      <c r="X605" s="405"/>
      <c r="Y605" s="563">
        <f t="shared" si="171"/>
        <v>0</v>
      </c>
      <c r="Z605" s="491">
        <f t="shared" si="172"/>
        <v>0</v>
      </c>
      <c r="AA605" s="396">
        <f t="shared" si="173"/>
        <v>20</v>
      </c>
      <c r="AB605" s="407">
        <f t="shared" si="167"/>
        <v>37715.919999999998</v>
      </c>
      <c r="AC605" s="400">
        <f t="shared" si="164"/>
        <v>20</v>
      </c>
      <c r="AD605" s="409">
        <f t="shared" si="161"/>
        <v>37.715919999999997</v>
      </c>
      <c r="AE605" s="406"/>
    </row>
    <row r="606" spans="1:31" s="63" customFormat="1" ht="38.25">
      <c r="A606" s="406"/>
      <c r="B606" s="405"/>
      <c r="C606" s="410" t="s">
        <v>146</v>
      </c>
      <c r="D606" s="410" t="s">
        <v>65</v>
      </c>
      <c r="E606" s="410" t="s">
        <v>196</v>
      </c>
      <c r="F606" s="410" t="s">
        <v>66</v>
      </c>
      <c r="G606" s="410" t="s">
        <v>448</v>
      </c>
      <c r="H606" s="403" t="s">
        <v>165</v>
      </c>
      <c r="I606" s="1910" t="s">
        <v>513</v>
      </c>
      <c r="J606" s="1910" t="s">
        <v>514</v>
      </c>
      <c r="K606" s="405">
        <v>18</v>
      </c>
      <c r="L606" s="474">
        <v>500000</v>
      </c>
      <c r="M606" s="405">
        <v>3</v>
      </c>
      <c r="N606" s="474">
        <v>304801.353</v>
      </c>
      <c r="O606" s="405">
        <v>3</v>
      </c>
      <c r="P606" s="474">
        <v>183561.55</v>
      </c>
      <c r="Q606" s="405">
        <v>0</v>
      </c>
      <c r="R606" s="474">
        <v>8946</v>
      </c>
      <c r="S606" s="405"/>
      <c r="T606" s="405"/>
      <c r="U606" s="405"/>
      <c r="V606" s="405"/>
      <c r="W606" s="405"/>
      <c r="X606" s="405"/>
      <c r="Y606" s="563">
        <f t="shared" si="171"/>
        <v>0</v>
      </c>
      <c r="Z606" s="491">
        <f t="shared" si="172"/>
        <v>8946</v>
      </c>
      <c r="AA606" s="396">
        <f t="shared" si="173"/>
        <v>3</v>
      </c>
      <c r="AB606" s="407">
        <f t="shared" si="167"/>
        <v>313747.353</v>
      </c>
      <c r="AC606" s="400">
        <f t="shared" si="164"/>
        <v>16.666666666666664</v>
      </c>
      <c r="AD606" s="409">
        <f t="shared" si="161"/>
        <v>62.749470600000002</v>
      </c>
      <c r="AE606" s="406"/>
    </row>
    <row r="607" spans="1:31" s="63" customFormat="1" ht="38.25">
      <c r="A607" s="406"/>
      <c r="B607" s="405"/>
      <c r="C607" s="410" t="s">
        <v>146</v>
      </c>
      <c r="D607" s="410" t="s">
        <v>65</v>
      </c>
      <c r="E607" s="410" t="s">
        <v>196</v>
      </c>
      <c r="F607" s="410" t="s">
        <v>66</v>
      </c>
      <c r="G607" s="410" t="s">
        <v>448</v>
      </c>
      <c r="H607" s="403" t="s">
        <v>515</v>
      </c>
      <c r="I607" s="1910" t="s">
        <v>516</v>
      </c>
      <c r="J607" s="1910" t="s">
        <v>517</v>
      </c>
      <c r="K607" s="405">
        <v>82</v>
      </c>
      <c r="L607" s="474">
        <v>300000</v>
      </c>
      <c r="M607" s="405">
        <v>83</v>
      </c>
      <c r="N607" s="474">
        <v>122408.53</v>
      </c>
      <c r="O607" s="405">
        <v>78</v>
      </c>
      <c r="P607" s="474">
        <v>117624.855</v>
      </c>
      <c r="Q607" s="405">
        <v>0</v>
      </c>
      <c r="R607" s="474">
        <v>21183.599999999999</v>
      </c>
      <c r="S607" s="405"/>
      <c r="T607" s="405"/>
      <c r="U607" s="405"/>
      <c r="V607" s="405"/>
      <c r="W607" s="405"/>
      <c r="X607" s="405"/>
      <c r="Y607" s="563">
        <f t="shared" si="171"/>
        <v>0</v>
      </c>
      <c r="Z607" s="491">
        <f t="shared" si="172"/>
        <v>21183.599999999999</v>
      </c>
      <c r="AA607" s="396">
        <f t="shared" si="173"/>
        <v>83</v>
      </c>
      <c r="AB607" s="407">
        <f t="shared" si="167"/>
        <v>143592.13</v>
      </c>
      <c r="AC607" s="400">
        <f t="shared" si="164"/>
        <v>101.21951219512195</v>
      </c>
      <c r="AD607" s="409">
        <f t="shared" si="161"/>
        <v>47.864043333333335</v>
      </c>
      <c r="AE607" s="406"/>
    </row>
    <row r="608" spans="1:31" s="63" customFormat="1" ht="38.25">
      <c r="A608" s="431"/>
      <c r="B608" s="476"/>
      <c r="C608" s="477" t="s">
        <v>146</v>
      </c>
      <c r="D608" s="477" t="s">
        <v>65</v>
      </c>
      <c r="E608" s="477" t="s">
        <v>196</v>
      </c>
      <c r="F608" s="477" t="s">
        <v>66</v>
      </c>
      <c r="G608" s="477" t="s">
        <v>448</v>
      </c>
      <c r="H608" s="488" t="s">
        <v>178</v>
      </c>
      <c r="I608" s="1913" t="s">
        <v>518</v>
      </c>
      <c r="J608" s="1913" t="s">
        <v>519</v>
      </c>
      <c r="K608" s="476">
        <v>2</v>
      </c>
      <c r="L608" s="482">
        <v>150000</v>
      </c>
      <c r="M608" s="476">
        <v>1</v>
      </c>
      <c r="N608" s="482">
        <v>9767.92</v>
      </c>
      <c r="O608" s="476">
        <v>1</v>
      </c>
      <c r="P608" s="482">
        <v>82428.985000000001</v>
      </c>
      <c r="Q608" s="476">
        <v>0</v>
      </c>
      <c r="R608" s="482">
        <v>950</v>
      </c>
      <c r="S608" s="476"/>
      <c r="T608" s="476"/>
      <c r="U608" s="476"/>
      <c r="V608" s="476"/>
      <c r="W608" s="476"/>
      <c r="X608" s="476"/>
      <c r="Y608" s="563">
        <f t="shared" si="171"/>
        <v>0</v>
      </c>
      <c r="Z608" s="491">
        <f t="shared" si="172"/>
        <v>950</v>
      </c>
      <c r="AA608" s="396">
        <f t="shared" si="173"/>
        <v>1</v>
      </c>
      <c r="AB608" s="417">
        <f t="shared" si="167"/>
        <v>10717.92</v>
      </c>
      <c r="AC608" s="400">
        <f t="shared" si="164"/>
        <v>50</v>
      </c>
      <c r="AD608" s="432">
        <f t="shared" si="161"/>
        <v>7.1452799999999996</v>
      </c>
      <c r="AE608" s="431"/>
    </row>
    <row r="609" spans="1:31" s="494" customFormat="1" ht="21" customHeight="1">
      <c r="A609" s="2398" t="s">
        <v>89</v>
      </c>
      <c r="B609" s="2398"/>
      <c r="C609" s="2341"/>
      <c r="D609" s="2341"/>
      <c r="E609" s="2341"/>
      <c r="F609" s="2341"/>
      <c r="G609" s="2341"/>
      <c r="H609" s="2341"/>
      <c r="I609" s="2341"/>
      <c r="J609" s="2341"/>
      <c r="K609" s="2341"/>
      <c r="L609" s="2341"/>
      <c r="M609" s="2341"/>
      <c r="N609" s="2341"/>
      <c r="O609" s="2341"/>
      <c r="P609" s="2341"/>
      <c r="Q609" s="2341"/>
      <c r="R609" s="2341"/>
      <c r="S609" s="2341"/>
      <c r="T609" s="2341"/>
      <c r="U609" s="2341"/>
      <c r="V609" s="2341"/>
      <c r="W609" s="2341"/>
      <c r="X609" s="2341"/>
      <c r="Y609" s="2341"/>
      <c r="Z609" s="2341"/>
      <c r="AA609" s="2341"/>
      <c r="AB609" s="2341"/>
      <c r="AC609" s="493">
        <f>AVERAGE(AC567:AC608)</f>
        <v>49.832617093971052</v>
      </c>
      <c r="AD609" s="493">
        <f>AB611/P611*100</f>
        <v>125.83496965231591</v>
      </c>
      <c r="AE609" s="385"/>
    </row>
    <row r="610" spans="1:31" s="494" customFormat="1" ht="21" customHeight="1">
      <c r="A610" s="2398" t="s">
        <v>90</v>
      </c>
      <c r="B610" s="2398"/>
      <c r="C610" s="2341"/>
      <c r="D610" s="2341"/>
      <c r="E610" s="2341"/>
      <c r="F610" s="2341"/>
      <c r="G610" s="2341"/>
      <c r="H610" s="2341"/>
      <c r="I610" s="2341"/>
      <c r="J610" s="2341"/>
      <c r="K610" s="2341"/>
      <c r="L610" s="2341"/>
      <c r="M610" s="2341"/>
      <c r="N610" s="2341"/>
      <c r="O610" s="2341"/>
      <c r="P610" s="2341"/>
      <c r="Q610" s="2341"/>
      <c r="R610" s="2341"/>
      <c r="S610" s="2341"/>
      <c r="T610" s="2341"/>
      <c r="U610" s="2341"/>
      <c r="V610" s="2341"/>
      <c r="W610" s="2341"/>
      <c r="X610" s="2341"/>
      <c r="Y610" s="2341"/>
      <c r="Z610" s="2341"/>
      <c r="AA610" s="2341"/>
      <c r="AB610" s="2341"/>
      <c r="AC610" s="1904" t="str">
        <f t="shared" ref="AC610" si="174">IF(AC609&gt;=45,"ST",IF(AC609&gt;=38,"T",IF(AC609&gt;=32,"S",IF(AC609&gt;=25,"R","SR"))))</f>
        <v>ST</v>
      </c>
      <c r="AD610" s="495" t="str">
        <f>IF(AD609&gt;=45,"ST",IF(AD609&gt;=38,"T",IF(AD609&gt;=32,"S",IF(AD609&gt;=25,"R","SR"))))</f>
        <v>ST</v>
      </c>
      <c r="AE610" s="385"/>
    </row>
    <row r="611" spans="1:31" s="494" customFormat="1" ht="21" customHeight="1">
      <c r="A611" s="2473" t="s">
        <v>100</v>
      </c>
      <c r="B611" s="2473"/>
      <c r="C611" s="2473"/>
      <c r="D611" s="2473"/>
      <c r="E611" s="2473"/>
      <c r="F611" s="2473"/>
      <c r="G611" s="2473"/>
      <c r="H611" s="2473"/>
      <c r="I611" s="2473"/>
      <c r="J611" s="2473"/>
      <c r="K611" s="2473"/>
      <c r="L611" s="2473"/>
      <c r="M611" s="2473"/>
      <c r="N611" s="2473"/>
      <c r="O611" s="2473"/>
      <c r="P611" s="496">
        <f>P567+P578+P583+P596</f>
        <v>2209314.548</v>
      </c>
      <c r="Q611" s="2474"/>
      <c r="R611" s="2474"/>
      <c r="S611" s="2474"/>
      <c r="T611" s="2474"/>
      <c r="U611" s="2474"/>
      <c r="V611" s="2474"/>
      <c r="W611" s="2474"/>
      <c r="X611" s="2474"/>
      <c r="Y611" s="2474"/>
      <c r="Z611" s="2474"/>
      <c r="AA611" s="2474"/>
      <c r="AB611" s="496">
        <f>AB596+AB583+AB578+AB567</f>
        <v>2780090.2910000002</v>
      </c>
      <c r="AC611" s="497"/>
      <c r="AD611" s="497"/>
      <c r="AE611" s="497"/>
    </row>
    <row r="612" spans="1:31" ht="22.5" customHeight="1">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382"/>
      <c r="Z612" s="56"/>
      <c r="AA612" s="56"/>
      <c r="AB612" s="56"/>
      <c r="AC612" s="56"/>
      <c r="AD612" s="56"/>
      <c r="AE612" s="56"/>
    </row>
    <row r="613" spans="1:31" s="69" customFormat="1" ht="27.75" customHeight="1">
      <c r="A613" s="67">
        <v>10</v>
      </c>
      <c r="B613" s="67"/>
      <c r="C613" s="67"/>
      <c r="D613" s="67"/>
      <c r="E613" s="67"/>
      <c r="F613" s="67"/>
      <c r="G613" s="67"/>
      <c r="H613" s="67"/>
      <c r="I613" s="68" t="s">
        <v>137</v>
      </c>
      <c r="J613" s="67"/>
      <c r="K613" s="67"/>
      <c r="L613" s="67"/>
      <c r="M613" s="67"/>
      <c r="N613" s="67"/>
      <c r="O613" s="67"/>
      <c r="P613" s="67"/>
      <c r="Q613" s="67"/>
      <c r="R613" s="67"/>
      <c r="S613" s="67"/>
      <c r="T613" s="67"/>
      <c r="U613" s="67"/>
      <c r="V613" s="67"/>
      <c r="W613" s="67"/>
      <c r="X613" s="67"/>
      <c r="Y613" s="366"/>
      <c r="Z613" s="67"/>
      <c r="AA613" s="67"/>
      <c r="AB613" s="67"/>
      <c r="AC613" s="67"/>
      <c r="AD613" s="67"/>
      <c r="AE613" s="67"/>
    </row>
    <row r="614" spans="1:31" ht="22.5" customHeight="1">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382"/>
      <c r="Z614" s="56"/>
      <c r="AA614" s="56"/>
      <c r="AB614" s="56"/>
      <c r="AC614" s="56"/>
      <c r="AD614" s="56"/>
      <c r="AE614" s="56"/>
    </row>
    <row r="615" spans="1:31" s="69" customFormat="1" ht="27.75" customHeight="1">
      <c r="A615" s="67">
        <v>11</v>
      </c>
      <c r="B615" s="67"/>
      <c r="C615" s="67"/>
      <c r="D615" s="67"/>
      <c r="E615" s="67"/>
      <c r="F615" s="67"/>
      <c r="G615" s="67"/>
      <c r="H615" s="67"/>
      <c r="I615" s="68" t="s">
        <v>138</v>
      </c>
      <c r="J615" s="67"/>
      <c r="K615" s="67"/>
      <c r="L615" s="67"/>
      <c r="M615" s="67"/>
      <c r="N615" s="67"/>
      <c r="O615" s="67"/>
      <c r="P615" s="67"/>
      <c r="Q615" s="67"/>
      <c r="R615" s="67"/>
      <c r="S615" s="67"/>
      <c r="T615" s="67"/>
      <c r="U615" s="67"/>
      <c r="V615" s="67"/>
      <c r="W615" s="67"/>
      <c r="X615" s="67"/>
      <c r="Y615" s="366"/>
      <c r="Z615" s="67"/>
      <c r="AA615" s="67"/>
      <c r="AB615" s="67"/>
      <c r="AC615" s="67"/>
      <c r="AD615" s="67"/>
      <c r="AE615" s="67"/>
    </row>
    <row r="616" spans="1:31" s="776" customFormat="1" ht="43.5" customHeight="1">
      <c r="A616" s="819"/>
      <c r="B616" s="819"/>
      <c r="C616" s="820" t="s">
        <v>146</v>
      </c>
      <c r="D616" s="820" t="s">
        <v>65</v>
      </c>
      <c r="E616" s="820" t="s">
        <v>66</v>
      </c>
      <c r="F616" s="820"/>
      <c r="G616" s="820"/>
      <c r="H616" s="844"/>
      <c r="I616" s="834" t="s">
        <v>1183</v>
      </c>
      <c r="J616" s="757" t="s">
        <v>1184</v>
      </c>
      <c r="K616" s="819"/>
      <c r="L616" s="835">
        <f>SUM(L617:L629)</f>
        <v>1280000000</v>
      </c>
      <c r="M616" s="819"/>
      <c r="N616" s="835">
        <v>45640671</v>
      </c>
      <c r="O616" s="819"/>
      <c r="P616" s="835">
        <f>SUM(P617:P629)</f>
        <v>432097724</v>
      </c>
      <c r="Q616" s="828">
        <f>R616/P616</f>
        <v>0.21147936664438435</v>
      </c>
      <c r="R616" s="835">
        <f>SUM(R617:R629)</f>
        <v>91379753</v>
      </c>
      <c r="S616" s="819"/>
      <c r="T616" s="835"/>
      <c r="U616" s="819"/>
      <c r="V616" s="835"/>
      <c r="W616" s="821"/>
      <c r="X616" s="835"/>
      <c r="Y616" s="828">
        <f>+Z616/P616</f>
        <v>0.21147936664438435</v>
      </c>
      <c r="Z616" s="835">
        <f>SUM(Z617:Z629)</f>
        <v>91379753</v>
      </c>
      <c r="AA616" s="819"/>
      <c r="AB616" s="829">
        <f t="shared" ref="AB616:AB629" si="175">Z616+N616</f>
        <v>137020424</v>
      </c>
      <c r="AC616" s="819"/>
      <c r="AD616" s="830">
        <f t="shared" ref="AD616:AD629" si="176">(AB616/L616)*100</f>
        <v>10.704720625</v>
      </c>
      <c r="AE616" s="839"/>
    </row>
    <row r="617" spans="1:31" s="787" customFormat="1" ht="53.25" customHeight="1">
      <c r="A617" s="777"/>
      <c r="B617" s="777"/>
      <c r="C617" s="778" t="s">
        <v>146</v>
      </c>
      <c r="D617" s="778" t="s">
        <v>65</v>
      </c>
      <c r="E617" s="778" t="s">
        <v>66</v>
      </c>
      <c r="F617" s="778" t="s">
        <v>65</v>
      </c>
      <c r="G617" s="778"/>
      <c r="H617" s="1914"/>
      <c r="I617" s="780" t="s">
        <v>873</v>
      </c>
      <c r="J617" s="854" t="s">
        <v>1185</v>
      </c>
      <c r="K617" s="777"/>
      <c r="L617" s="782">
        <v>130000000</v>
      </c>
      <c r="M617" s="777"/>
      <c r="N617" s="782">
        <v>113900000</v>
      </c>
      <c r="O617" s="855">
        <v>12</v>
      </c>
      <c r="P617" s="782">
        <v>23700000</v>
      </c>
      <c r="Q617" s="831">
        <v>3</v>
      </c>
      <c r="R617" s="783">
        <v>6826053</v>
      </c>
      <c r="S617" s="789"/>
      <c r="T617" s="816"/>
      <c r="U617" s="798"/>
      <c r="V617" s="816"/>
      <c r="W617" s="856"/>
      <c r="X617" s="816"/>
      <c r="Y617" s="831">
        <v>3</v>
      </c>
      <c r="Z617" s="783">
        <v>6826053</v>
      </c>
      <c r="AA617" s="791">
        <f>Y617</f>
        <v>3</v>
      </c>
      <c r="AB617" s="791">
        <f t="shared" si="175"/>
        <v>120726053</v>
      </c>
      <c r="AC617" s="791"/>
      <c r="AD617" s="792">
        <f t="shared" si="176"/>
        <v>92.866194615384615</v>
      </c>
      <c r="AE617" s="786"/>
    </row>
    <row r="618" spans="1:31" s="787" customFormat="1" ht="39" customHeight="1">
      <c r="A618" s="777"/>
      <c r="B618" s="777"/>
      <c r="C618" s="778" t="s">
        <v>146</v>
      </c>
      <c r="D618" s="778" t="s">
        <v>65</v>
      </c>
      <c r="E618" s="778" t="s">
        <v>66</v>
      </c>
      <c r="F618" s="778" t="s">
        <v>198</v>
      </c>
      <c r="G618" s="778"/>
      <c r="H618" s="1914"/>
      <c r="I618" s="780" t="s">
        <v>148</v>
      </c>
      <c r="J618" s="854" t="s">
        <v>1186</v>
      </c>
      <c r="K618" s="777"/>
      <c r="L618" s="782">
        <v>130000000</v>
      </c>
      <c r="M618" s="777"/>
      <c r="N618" s="782">
        <v>113743000</v>
      </c>
      <c r="O618" s="855">
        <v>12</v>
      </c>
      <c r="P618" s="782">
        <v>59400000</v>
      </c>
      <c r="Q618" s="831">
        <v>3</v>
      </c>
      <c r="R618" s="783">
        <v>13050000</v>
      </c>
      <c r="S618" s="789"/>
      <c r="T618" s="816"/>
      <c r="U618" s="798"/>
      <c r="V618" s="816"/>
      <c r="W618" s="856"/>
      <c r="X618" s="816"/>
      <c r="Y618" s="831">
        <v>3</v>
      </c>
      <c r="Z618" s="783">
        <v>13050000</v>
      </c>
      <c r="AA618" s="791">
        <f t="shared" ref="AA618:AA629" si="177">Y618</f>
        <v>3</v>
      </c>
      <c r="AB618" s="791">
        <f t="shared" si="175"/>
        <v>126793000</v>
      </c>
      <c r="AC618" s="791"/>
      <c r="AD618" s="792">
        <f t="shared" si="176"/>
        <v>97.533076923076919</v>
      </c>
      <c r="AE618" s="786"/>
    </row>
    <row r="619" spans="1:31" s="787" customFormat="1" ht="45.75" customHeight="1">
      <c r="A619" s="777"/>
      <c r="B619" s="777"/>
      <c r="C619" s="778" t="s">
        <v>146</v>
      </c>
      <c r="D619" s="778" t="s">
        <v>65</v>
      </c>
      <c r="E619" s="778" t="s">
        <v>66</v>
      </c>
      <c r="F619" s="778" t="s">
        <v>93</v>
      </c>
      <c r="G619" s="778"/>
      <c r="H619" s="1914"/>
      <c r="I619" s="780" t="s">
        <v>876</v>
      </c>
      <c r="J619" s="854" t="s">
        <v>1187</v>
      </c>
      <c r="K619" s="777"/>
      <c r="L619" s="782">
        <v>100000000</v>
      </c>
      <c r="M619" s="777"/>
      <c r="N619" s="782">
        <v>19972000</v>
      </c>
      <c r="O619" s="855">
        <v>12</v>
      </c>
      <c r="P619" s="782">
        <v>67945200</v>
      </c>
      <c r="Q619" s="831">
        <v>3</v>
      </c>
      <c r="R619" s="783">
        <v>15407000</v>
      </c>
      <c r="S619" s="789"/>
      <c r="T619" s="816"/>
      <c r="U619" s="798"/>
      <c r="V619" s="816"/>
      <c r="W619" s="856"/>
      <c r="X619" s="816"/>
      <c r="Y619" s="831">
        <v>3</v>
      </c>
      <c r="Z619" s="783">
        <v>15407000</v>
      </c>
      <c r="AA619" s="791">
        <f t="shared" si="177"/>
        <v>3</v>
      </c>
      <c r="AB619" s="791">
        <f t="shared" si="175"/>
        <v>35379000</v>
      </c>
      <c r="AC619" s="791"/>
      <c r="AD619" s="792">
        <f t="shared" si="176"/>
        <v>35.378999999999998</v>
      </c>
      <c r="AE619" s="786"/>
    </row>
    <row r="620" spans="1:31" s="787" customFormat="1" ht="58.5" customHeight="1">
      <c r="A620" s="777"/>
      <c r="B620" s="777"/>
      <c r="C620" s="778" t="s">
        <v>146</v>
      </c>
      <c r="D620" s="778" t="s">
        <v>65</v>
      </c>
      <c r="E620" s="778" t="s">
        <v>66</v>
      </c>
      <c r="F620" s="778" t="s">
        <v>201</v>
      </c>
      <c r="G620" s="778"/>
      <c r="H620" s="1914"/>
      <c r="I620" s="780" t="s">
        <v>528</v>
      </c>
      <c r="J620" s="854" t="s">
        <v>1188</v>
      </c>
      <c r="K620" s="777"/>
      <c r="L620" s="782">
        <v>10000000</v>
      </c>
      <c r="M620" s="777"/>
      <c r="N620" s="782">
        <v>55056680</v>
      </c>
      <c r="O620" s="855">
        <v>12</v>
      </c>
      <c r="P620" s="782">
        <v>5050000</v>
      </c>
      <c r="Q620" s="831">
        <v>3</v>
      </c>
      <c r="R620" s="783">
        <v>1210000</v>
      </c>
      <c r="S620" s="789"/>
      <c r="T620" s="816"/>
      <c r="U620" s="798"/>
      <c r="V620" s="816"/>
      <c r="W620" s="856"/>
      <c r="X620" s="816"/>
      <c r="Y620" s="831">
        <v>3</v>
      </c>
      <c r="Z620" s="783">
        <v>1210000</v>
      </c>
      <c r="AA620" s="791">
        <f t="shared" si="177"/>
        <v>3</v>
      </c>
      <c r="AB620" s="791">
        <f t="shared" si="175"/>
        <v>56266680</v>
      </c>
      <c r="AC620" s="791"/>
      <c r="AD620" s="792">
        <f t="shared" si="176"/>
        <v>562.66679999999997</v>
      </c>
      <c r="AE620" s="786"/>
    </row>
    <row r="621" spans="1:31" s="787" customFormat="1" ht="39.75" customHeight="1">
      <c r="A621" s="777"/>
      <c r="B621" s="777"/>
      <c r="C621" s="778" t="s">
        <v>146</v>
      </c>
      <c r="D621" s="778" t="s">
        <v>65</v>
      </c>
      <c r="E621" s="778" t="s">
        <v>66</v>
      </c>
      <c r="F621" s="778" t="s">
        <v>202</v>
      </c>
      <c r="G621" s="778"/>
      <c r="H621" s="1914"/>
      <c r="I621" s="780" t="s">
        <v>203</v>
      </c>
      <c r="J621" s="857" t="s">
        <v>1189</v>
      </c>
      <c r="K621" s="777"/>
      <c r="L621" s="782">
        <v>100000000</v>
      </c>
      <c r="M621" s="777"/>
      <c r="N621" s="782">
        <v>50340400</v>
      </c>
      <c r="O621" s="855">
        <v>12</v>
      </c>
      <c r="P621" s="782">
        <v>23852800</v>
      </c>
      <c r="Q621" s="831">
        <v>3</v>
      </c>
      <c r="R621" s="783">
        <v>11645000</v>
      </c>
      <c r="S621" s="789"/>
      <c r="T621" s="816"/>
      <c r="U621" s="798"/>
      <c r="V621" s="816"/>
      <c r="W621" s="856"/>
      <c r="X621" s="816"/>
      <c r="Y621" s="831">
        <v>3</v>
      </c>
      <c r="Z621" s="783">
        <v>11645000</v>
      </c>
      <c r="AA621" s="791">
        <f t="shared" si="177"/>
        <v>3</v>
      </c>
      <c r="AB621" s="791">
        <f t="shared" si="175"/>
        <v>61985400</v>
      </c>
      <c r="AC621" s="791"/>
      <c r="AD621" s="792">
        <f t="shared" si="176"/>
        <v>61.985399999999998</v>
      </c>
      <c r="AE621" s="786"/>
    </row>
    <row r="622" spans="1:31" s="787" customFormat="1" ht="57" customHeight="1">
      <c r="A622" s="777"/>
      <c r="B622" s="777"/>
      <c r="C622" s="778" t="s">
        <v>146</v>
      </c>
      <c r="D622" s="778" t="s">
        <v>65</v>
      </c>
      <c r="E622" s="778" t="s">
        <v>66</v>
      </c>
      <c r="F622" s="778" t="s">
        <v>417</v>
      </c>
      <c r="G622" s="778"/>
      <c r="H622" s="1914"/>
      <c r="I622" s="780" t="s">
        <v>204</v>
      </c>
      <c r="J622" s="857" t="s">
        <v>1190</v>
      </c>
      <c r="K622" s="777"/>
      <c r="L622" s="782">
        <v>100000000</v>
      </c>
      <c r="M622" s="777"/>
      <c r="N622" s="782">
        <v>58747200</v>
      </c>
      <c r="O622" s="855">
        <v>12</v>
      </c>
      <c r="P622" s="782">
        <v>23790600</v>
      </c>
      <c r="Q622" s="831">
        <v>3</v>
      </c>
      <c r="R622" s="783">
        <v>3130000</v>
      </c>
      <c r="S622" s="789"/>
      <c r="T622" s="816"/>
      <c r="U622" s="798"/>
      <c r="V622" s="816"/>
      <c r="W622" s="856"/>
      <c r="X622" s="816"/>
      <c r="Y622" s="831">
        <v>3</v>
      </c>
      <c r="Z622" s="783">
        <v>3130000</v>
      </c>
      <c r="AA622" s="791">
        <f t="shared" si="177"/>
        <v>3</v>
      </c>
      <c r="AB622" s="791">
        <f t="shared" si="175"/>
        <v>61877200</v>
      </c>
      <c r="AC622" s="791"/>
      <c r="AD622" s="792">
        <f t="shared" si="176"/>
        <v>61.877200000000002</v>
      </c>
      <c r="AE622" s="786"/>
    </row>
    <row r="623" spans="1:31" s="787" customFormat="1" ht="45.75" customHeight="1">
      <c r="A623" s="777"/>
      <c r="B623" s="777"/>
      <c r="C623" s="778" t="s">
        <v>146</v>
      </c>
      <c r="D623" s="778" t="s">
        <v>65</v>
      </c>
      <c r="E623" s="778" t="s">
        <v>66</v>
      </c>
      <c r="F623" s="778" t="s">
        <v>417</v>
      </c>
      <c r="G623" s="778"/>
      <c r="H623" s="1914"/>
      <c r="I623" s="780" t="s">
        <v>1191</v>
      </c>
      <c r="J623" s="857" t="s">
        <v>1192</v>
      </c>
      <c r="K623" s="777"/>
      <c r="L623" s="782">
        <v>100000000</v>
      </c>
      <c r="M623" s="777">
        <v>1</v>
      </c>
      <c r="N623" s="782">
        <v>10728500</v>
      </c>
      <c r="O623" s="858">
        <v>0</v>
      </c>
      <c r="P623" s="782">
        <v>10114760</v>
      </c>
      <c r="Q623" s="831">
        <v>0</v>
      </c>
      <c r="R623" s="783">
        <v>260600</v>
      </c>
      <c r="S623" s="789"/>
      <c r="T623" s="816"/>
      <c r="U623" s="798"/>
      <c r="V623" s="816"/>
      <c r="W623" s="856"/>
      <c r="X623" s="816"/>
      <c r="Y623" s="831">
        <v>0</v>
      </c>
      <c r="Z623" s="783">
        <v>260600</v>
      </c>
      <c r="AA623" s="791">
        <f t="shared" si="177"/>
        <v>0</v>
      </c>
      <c r="AB623" s="791">
        <f t="shared" si="175"/>
        <v>10989100</v>
      </c>
      <c r="AC623" s="791"/>
      <c r="AD623" s="792">
        <f t="shared" si="176"/>
        <v>10.989100000000001</v>
      </c>
      <c r="AE623" s="786"/>
    </row>
    <row r="624" spans="1:31" s="787" customFormat="1" ht="68.25" customHeight="1">
      <c r="A624" s="777"/>
      <c r="B624" s="777"/>
      <c r="C624" s="778" t="s">
        <v>146</v>
      </c>
      <c r="D624" s="778" t="s">
        <v>65</v>
      </c>
      <c r="E624" s="778" t="s">
        <v>66</v>
      </c>
      <c r="F624" s="778" t="s">
        <v>160</v>
      </c>
      <c r="G624" s="778"/>
      <c r="H624" s="1914"/>
      <c r="I624" s="780" t="s">
        <v>205</v>
      </c>
      <c r="J624" s="857" t="s">
        <v>1193</v>
      </c>
      <c r="K624" s="777"/>
      <c r="L624" s="782">
        <v>100000000</v>
      </c>
      <c r="M624" s="777"/>
      <c r="N624" s="782">
        <v>15745300</v>
      </c>
      <c r="O624" s="858">
        <v>12</v>
      </c>
      <c r="P624" s="782">
        <v>6481292</v>
      </c>
      <c r="Q624" s="831">
        <v>3</v>
      </c>
      <c r="R624" s="783">
        <v>246000</v>
      </c>
      <c r="S624" s="789"/>
      <c r="T624" s="816"/>
      <c r="U624" s="798"/>
      <c r="V624" s="816"/>
      <c r="W624" s="856"/>
      <c r="X624" s="816"/>
      <c r="Y624" s="831">
        <v>3</v>
      </c>
      <c r="Z624" s="783">
        <v>246000</v>
      </c>
      <c r="AA624" s="791">
        <f t="shared" si="177"/>
        <v>3</v>
      </c>
      <c r="AB624" s="791">
        <f t="shared" si="175"/>
        <v>15991300</v>
      </c>
      <c r="AC624" s="791"/>
      <c r="AD624" s="792">
        <f t="shared" si="176"/>
        <v>15.991300000000001</v>
      </c>
      <c r="AE624" s="786"/>
    </row>
    <row r="625" spans="1:31" s="787" customFormat="1" ht="68.25" customHeight="1">
      <c r="A625" s="777"/>
      <c r="B625" s="777"/>
      <c r="C625" s="778" t="s">
        <v>146</v>
      </c>
      <c r="D625" s="778" t="s">
        <v>65</v>
      </c>
      <c r="E625" s="778" t="s">
        <v>66</v>
      </c>
      <c r="F625" s="778" t="s">
        <v>155</v>
      </c>
      <c r="G625" s="778"/>
      <c r="H625" s="1914"/>
      <c r="I625" s="780" t="s">
        <v>533</v>
      </c>
      <c r="J625" s="857" t="s">
        <v>1194</v>
      </c>
      <c r="K625" s="777"/>
      <c r="L625" s="782">
        <v>100000000</v>
      </c>
      <c r="M625" s="777"/>
      <c r="N625" s="782">
        <v>45522500</v>
      </c>
      <c r="O625" s="855">
        <v>12</v>
      </c>
      <c r="P625" s="782">
        <v>10400000</v>
      </c>
      <c r="Q625" s="831">
        <v>3</v>
      </c>
      <c r="R625" s="783">
        <v>1080000</v>
      </c>
      <c r="S625" s="789"/>
      <c r="T625" s="816"/>
      <c r="U625" s="798"/>
      <c r="V625" s="816"/>
      <c r="W625" s="856"/>
      <c r="X625" s="816"/>
      <c r="Y625" s="831">
        <v>3</v>
      </c>
      <c r="Z625" s="783">
        <v>1080000</v>
      </c>
      <c r="AA625" s="791">
        <f t="shared" si="177"/>
        <v>3</v>
      </c>
      <c r="AB625" s="791">
        <f t="shared" si="175"/>
        <v>46602500</v>
      </c>
      <c r="AC625" s="791"/>
      <c r="AD625" s="792">
        <f t="shared" si="176"/>
        <v>46.602499999999999</v>
      </c>
      <c r="AE625" s="786"/>
    </row>
    <row r="626" spans="1:31" s="787" customFormat="1" ht="43.5" customHeight="1">
      <c r="A626" s="777"/>
      <c r="B626" s="777"/>
      <c r="C626" s="778" t="s">
        <v>146</v>
      </c>
      <c r="D626" s="778" t="s">
        <v>65</v>
      </c>
      <c r="E626" s="778" t="s">
        <v>66</v>
      </c>
      <c r="F626" s="778" t="s">
        <v>448</v>
      </c>
      <c r="G626" s="778"/>
      <c r="H626" s="1914"/>
      <c r="I626" s="780" t="s">
        <v>206</v>
      </c>
      <c r="J626" s="857" t="s">
        <v>1195</v>
      </c>
      <c r="K626" s="777"/>
      <c r="L626" s="782">
        <v>100000000</v>
      </c>
      <c r="M626" s="777"/>
      <c r="N626" s="782">
        <v>261595031</v>
      </c>
      <c r="O626" s="855">
        <v>12</v>
      </c>
      <c r="P626" s="782">
        <v>18565000</v>
      </c>
      <c r="Q626" s="831">
        <f t="shared" ref="Q626" si="178">R626/P626</f>
        <v>0</v>
      </c>
      <c r="R626" s="783">
        <v>0</v>
      </c>
      <c r="S626" s="789"/>
      <c r="T626" s="816"/>
      <c r="U626" s="798"/>
      <c r="V626" s="816"/>
      <c r="W626" s="856"/>
      <c r="X626" s="816"/>
      <c r="Y626" s="831">
        <v>0</v>
      </c>
      <c r="Z626" s="783">
        <v>0</v>
      </c>
      <c r="AA626" s="791">
        <f t="shared" si="177"/>
        <v>0</v>
      </c>
      <c r="AB626" s="791">
        <f t="shared" si="175"/>
        <v>261595031</v>
      </c>
      <c r="AC626" s="791"/>
      <c r="AD626" s="792">
        <f t="shared" si="176"/>
        <v>261.59503100000001</v>
      </c>
      <c r="AE626" s="786"/>
    </row>
    <row r="627" spans="1:31" s="787" customFormat="1" ht="50.25" customHeight="1">
      <c r="A627" s="777"/>
      <c r="B627" s="777"/>
      <c r="C627" s="778" t="s">
        <v>146</v>
      </c>
      <c r="D627" s="778" t="s">
        <v>65</v>
      </c>
      <c r="E627" s="778" t="s">
        <v>66</v>
      </c>
      <c r="F627" s="778" t="s">
        <v>167</v>
      </c>
      <c r="G627" s="778"/>
      <c r="H627" s="1914"/>
      <c r="I627" s="780" t="s">
        <v>207</v>
      </c>
      <c r="J627" s="857" t="s">
        <v>1196</v>
      </c>
      <c r="K627" s="777"/>
      <c r="L627" s="782">
        <v>135000000</v>
      </c>
      <c r="M627" s="777"/>
      <c r="N627" s="782">
        <v>93025000</v>
      </c>
      <c r="O627" s="855">
        <v>12</v>
      </c>
      <c r="P627" s="782">
        <v>109920000</v>
      </c>
      <c r="Q627" s="831">
        <v>3</v>
      </c>
      <c r="R627" s="783">
        <v>16490600</v>
      </c>
      <c r="S627" s="789"/>
      <c r="T627" s="816"/>
      <c r="U627" s="798"/>
      <c r="V627" s="816"/>
      <c r="W627" s="856"/>
      <c r="X627" s="816"/>
      <c r="Y627" s="831">
        <v>3</v>
      </c>
      <c r="Z627" s="783">
        <v>16490600</v>
      </c>
      <c r="AA627" s="791">
        <f t="shared" si="177"/>
        <v>3</v>
      </c>
      <c r="AB627" s="791">
        <f t="shared" si="175"/>
        <v>109515600</v>
      </c>
      <c r="AC627" s="791"/>
      <c r="AD627" s="792">
        <f t="shared" si="176"/>
        <v>81.12266666666666</v>
      </c>
      <c r="AE627" s="786"/>
    </row>
    <row r="628" spans="1:31" s="787" customFormat="1" ht="51" customHeight="1">
      <c r="A628" s="777"/>
      <c r="B628" s="777"/>
      <c r="C628" s="778" t="s">
        <v>146</v>
      </c>
      <c r="D628" s="778" t="s">
        <v>65</v>
      </c>
      <c r="E628" s="778" t="s">
        <v>66</v>
      </c>
      <c r="F628" s="778" t="s">
        <v>376</v>
      </c>
      <c r="G628" s="778"/>
      <c r="H628" s="1914"/>
      <c r="I628" s="780" t="s">
        <v>208</v>
      </c>
      <c r="J628" s="857" t="s">
        <v>1197</v>
      </c>
      <c r="K628" s="777"/>
      <c r="L628" s="782">
        <v>120000000</v>
      </c>
      <c r="M628" s="777"/>
      <c r="N628" s="782">
        <v>90312950</v>
      </c>
      <c r="O628" s="859">
        <f>O627</f>
        <v>12</v>
      </c>
      <c r="P628" s="782">
        <v>35000000</v>
      </c>
      <c r="Q628" s="831">
        <v>3</v>
      </c>
      <c r="R628" s="783">
        <v>10250000</v>
      </c>
      <c r="S628" s="789"/>
      <c r="T628" s="816"/>
      <c r="U628" s="798"/>
      <c r="V628" s="816"/>
      <c r="W628" s="856"/>
      <c r="X628" s="816"/>
      <c r="Y628" s="831">
        <v>3</v>
      </c>
      <c r="Z628" s="783">
        <v>10250000</v>
      </c>
      <c r="AA628" s="791">
        <f t="shared" si="177"/>
        <v>3</v>
      </c>
      <c r="AB628" s="791">
        <f t="shared" si="175"/>
        <v>100562950</v>
      </c>
      <c r="AC628" s="791"/>
      <c r="AD628" s="792">
        <f t="shared" si="176"/>
        <v>83.802458333333334</v>
      </c>
      <c r="AE628" s="786"/>
    </row>
    <row r="629" spans="1:31" s="787" customFormat="1" ht="41.25" customHeight="1">
      <c r="A629" s="777"/>
      <c r="B629" s="777"/>
      <c r="C629" s="778" t="s">
        <v>146</v>
      </c>
      <c r="D629" s="778" t="s">
        <v>65</v>
      </c>
      <c r="E629" s="778" t="s">
        <v>66</v>
      </c>
      <c r="F629" s="778" t="s">
        <v>163</v>
      </c>
      <c r="G629" s="778"/>
      <c r="H629" s="2475"/>
      <c r="I629" s="780" t="s">
        <v>538</v>
      </c>
      <c r="J629" s="857" t="s">
        <v>1198</v>
      </c>
      <c r="K629" s="777"/>
      <c r="L629" s="782">
        <v>55000000</v>
      </c>
      <c r="M629" s="777"/>
      <c r="N629" s="782">
        <v>0</v>
      </c>
      <c r="O629" s="859"/>
      <c r="P629" s="782">
        <v>37878072</v>
      </c>
      <c r="Q629" s="831"/>
      <c r="R629" s="783">
        <v>11784500</v>
      </c>
      <c r="S629" s="789"/>
      <c r="T629" s="816"/>
      <c r="U629" s="798"/>
      <c r="V629" s="816"/>
      <c r="W629" s="856"/>
      <c r="X629" s="816"/>
      <c r="Y629" s="831"/>
      <c r="Z629" s="783">
        <v>11784500</v>
      </c>
      <c r="AA629" s="791">
        <f t="shared" si="177"/>
        <v>0</v>
      </c>
      <c r="AB629" s="791">
        <f t="shared" si="175"/>
        <v>11784500</v>
      </c>
      <c r="AC629" s="791"/>
      <c r="AD629" s="792">
        <f t="shared" si="176"/>
        <v>21.426363636363636</v>
      </c>
      <c r="AE629" s="786"/>
    </row>
    <row r="630" spans="1:31" s="787" customFormat="1" ht="23.25" customHeight="1">
      <c r="A630" s="777"/>
      <c r="B630" s="777"/>
      <c r="C630" s="778"/>
      <c r="D630" s="778"/>
      <c r="E630" s="778"/>
      <c r="F630" s="778"/>
      <c r="G630" s="778"/>
      <c r="H630" s="2475"/>
      <c r="I630" s="780"/>
      <c r="J630" s="857" t="s">
        <v>1199</v>
      </c>
      <c r="K630" s="777"/>
      <c r="L630" s="782"/>
      <c r="M630" s="777"/>
      <c r="N630" s="782"/>
      <c r="O630" s="859">
        <v>1</v>
      </c>
      <c r="P630" s="782"/>
      <c r="Q630" s="831">
        <v>0</v>
      </c>
      <c r="R630" s="783"/>
      <c r="S630" s="789"/>
      <c r="T630" s="816"/>
      <c r="U630" s="798"/>
      <c r="V630" s="816"/>
      <c r="W630" s="856"/>
      <c r="X630" s="816"/>
      <c r="Y630" s="831">
        <v>0</v>
      </c>
      <c r="Z630" s="783"/>
      <c r="AA630" s="791"/>
      <c r="AB630" s="791"/>
      <c r="AC630" s="791"/>
      <c r="AD630" s="792"/>
      <c r="AE630" s="786"/>
    </row>
    <row r="631" spans="1:31" s="787" customFormat="1" ht="21" customHeight="1">
      <c r="A631" s="777"/>
      <c r="B631" s="777"/>
      <c r="C631" s="778"/>
      <c r="D631" s="778"/>
      <c r="E631" s="778"/>
      <c r="F631" s="778"/>
      <c r="G631" s="778"/>
      <c r="H631" s="2475"/>
      <c r="I631" s="780"/>
      <c r="J631" s="857" t="s">
        <v>1200</v>
      </c>
      <c r="K631" s="777"/>
      <c r="L631" s="782"/>
      <c r="M631" s="777"/>
      <c r="N631" s="782"/>
      <c r="O631" s="859">
        <v>1</v>
      </c>
      <c r="P631" s="782"/>
      <c r="Q631" s="831">
        <v>0</v>
      </c>
      <c r="R631" s="783"/>
      <c r="S631" s="789"/>
      <c r="T631" s="816"/>
      <c r="U631" s="798"/>
      <c r="V631" s="816"/>
      <c r="W631" s="856"/>
      <c r="X631" s="816"/>
      <c r="Y631" s="831">
        <v>0</v>
      </c>
      <c r="Z631" s="783"/>
      <c r="AA631" s="791"/>
      <c r="AB631" s="791"/>
      <c r="AC631" s="791"/>
      <c r="AD631" s="792"/>
      <c r="AE631" s="786"/>
    </row>
    <row r="632" spans="1:31" s="787" customFormat="1" ht="22.5" customHeight="1">
      <c r="A632" s="777"/>
      <c r="B632" s="777"/>
      <c r="C632" s="778"/>
      <c r="D632" s="778"/>
      <c r="E632" s="778"/>
      <c r="F632" s="778"/>
      <c r="G632" s="778"/>
      <c r="H632" s="2475"/>
      <c r="I632" s="780"/>
      <c r="J632" s="857" t="s">
        <v>1201</v>
      </c>
      <c r="K632" s="777"/>
      <c r="L632" s="782"/>
      <c r="M632" s="777"/>
      <c r="N632" s="782"/>
      <c r="O632" s="859">
        <v>12</v>
      </c>
      <c r="P632" s="782"/>
      <c r="Q632" s="831">
        <v>3</v>
      </c>
      <c r="R632" s="783"/>
      <c r="S632" s="789"/>
      <c r="T632" s="816"/>
      <c r="U632" s="798"/>
      <c r="V632" s="816"/>
      <c r="W632" s="856"/>
      <c r="X632" s="816"/>
      <c r="Y632" s="831">
        <v>3</v>
      </c>
      <c r="Z632" s="783"/>
      <c r="AA632" s="791"/>
      <c r="AB632" s="791"/>
      <c r="AC632" s="791"/>
      <c r="AD632" s="792"/>
      <c r="AE632" s="786"/>
    </row>
    <row r="633" spans="1:31" s="787" customFormat="1" ht="21.75" customHeight="1">
      <c r="A633" s="777"/>
      <c r="B633" s="777"/>
      <c r="C633" s="779"/>
      <c r="D633" s="779"/>
      <c r="E633" s="779"/>
      <c r="F633" s="779"/>
      <c r="G633" s="779"/>
      <c r="H633" s="2475"/>
      <c r="I633" s="854"/>
      <c r="J633" s="781" t="s">
        <v>1202</v>
      </c>
      <c r="K633" s="777"/>
      <c r="L633" s="782"/>
      <c r="M633" s="777"/>
      <c r="N633" s="782">
        <v>686187400</v>
      </c>
      <c r="O633" s="859">
        <v>4</v>
      </c>
      <c r="P633" s="782"/>
      <c r="Q633" s="831">
        <v>1</v>
      </c>
      <c r="R633" s="783"/>
      <c r="S633" s="777"/>
      <c r="T633" s="782"/>
      <c r="U633" s="782"/>
      <c r="V633" s="782"/>
      <c r="W633" s="860"/>
      <c r="X633" s="782"/>
      <c r="Y633" s="831">
        <v>1</v>
      </c>
      <c r="Z633" s="783"/>
      <c r="AA633" s="777"/>
      <c r="AB633" s="791">
        <f>Z633+N633</f>
        <v>686187400</v>
      </c>
      <c r="AC633" s="777"/>
      <c r="AD633" s="792"/>
      <c r="AE633" s="786"/>
    </row>
    <row r="634" spans="1:31" s="787" customFormat="1" ht="20.25" customHeight="1">
      <c r="A634" s="777"/>
      <c r="B634" s="777"/>
      <c r="C634" s="779"/>
      <c r="D634" s="779"/>
      <c r="E634" s="779"/>
      <c r="F634" s="779"/>
      <c r="G634" s="779"/>
      <c r="H634" s="1914"/>
      <c r="I634" s="854"/>
      <c r="J634" s="781" t="s">
        <v>1203</v>
      </c>
      <c r="K634" s="777"/>
      <c r="L634" s="782"/>
      <c r="M634" s="777"/>
      <c r="N634" s="782"/>
      <c r="O634" s="859">
        <v>1</v>
      </c>
      <c r="P634" s="782"/>
      <c r="Q634" s="831"/>
      <c r="R634" s="783"/>
      <c r="S634" s="777"/>
      <c r="T634" s="782"/>
      <c r="U634" s="782"/>
      <c r="V634" s="782"/>
      <c r="W634" s="860"/>
      <c r="X634" s="782"/>
      <c r="Y634" s="831"/>
      <c r="Z634" s="783"/>
      <c r="AA634" s="777"/>
      <c r="AB634" s="791"/>
      <c r="AC634" s="777"/>
      <c r="AD634" s="792"/>
      <c r="AE634" s="786"/>
    </row>
    <row r="635" spans="1:31" s="776" customFormat="1" ht="42" customHeight="1">
      <c r="A635" s="819"/>
      <c r="B635" s="819"/>
      <c r="C635" s="820" t="s">
        <v>146</v>
      </c>
      <c r="D635" s="820" t="s">
        <v>65</v>
      </c>
      <c r="E635" s="820" t="s">
        <v>65</v>
      </c>
      <c r="F635" s="821"/>
      <c r="G635" s="821"/>
      <c r="H635" s="822"/>
      <c r="I635" s="834" t="s">
        <v>162</v>
      </c>
      <c r="J635" s="758" t="s">
        <v>1204</v>
      </c>
      <c r="K635" s="819"/>
      <c r="L635" s="835">
        <f>SUM(L636:L646)</f>
        <v>255000000</v>
      </c>
      <c r="M635" s="819"/>
      <c r="N635" s="835">
        <f>SUM(N636:N646)</f>
        <v>633812400</v>
      </c>
      <c r="O635" s="861"/>
      <c r="P635" s="835">
        <f>SUM(P636:P646)</f>
        <v>160243036</v>
      </c>
      <c r="Q635" s="862">
        <f>+R635/P635</f>
        <v>0.29376502826618939</v>
      </c>
      <c r="R635" s="835">
        <f>SUM(R636:R646)</f>
        <v>47073800</v>
      </c>
      <c r="S635" s="863"/>
      <c r="T635" s="835"/>
      <c r="U635" s="864"/>
      <c r="V635" s="835"/>
      <c r="W635" s="865"/>
      <c r="X635" s="835"/>
      <c r="Y635" s="828">
        <f>+Z635/P635</f>
        <v>0.29376502826618939</v>
      </c>
      <c r="Z635" s="835">
        <f>SUM(Z636:Z646)</f>
        <v>47073800</v>
      </c>
      <c r="AA635" s="819"/>
      <c r="AB635" s="829">
        <f>Z635+N635</f>
        <v>680886200</v>
      </c>
      <c r="AC635" s="819"/>
      <c r="AD635" s="830">
        <f>(AB635/L635)*100</f>
        <v>267.01419607843138</v>
      </c>
      <c r="AE635" s="839"/>
    </row>
    <row r="636" spans="1:31" s="787" customFormat="1" ht="39" customHeight="1">
      <c r="A636" s="777"/>
      <c r="B636" s="777"/>
      <c r="C636" s="778" t="s">
        <v>146</v>
      </c>
      <c r="D636" s="778" t="s">
        <v>65</v>
      </c>
      <c r="E636" s="778" t="s">
        <v>65</v>
      </c>
      <c r="F636" s="778" t="s">
        <v>161</v>
      </c>
      <c r="G636" s="779"/>
      <c r="H636" s="1914"/>
      <c r="I636" s="780" t="s">
        <v>1205</v>
      </c>
      <c r="J636" s="781" t="s">
        <v>1206</v>
      </c>
      <c r="K636" s="777"/>
      <c r="L636" s="782"/>
      <c r="M636" s="777"/>
      <c r="N636" s="866">
        <v>394242950</v>
      </c>
      <c r="O636" s="859"/>
      <c r="P636" s="782">
        <v>71497200</v>
      </c>
      <c r="Q636" s="831"/>
      <c r="R636" s="783">
        <v>20239800</v>
      </c>
      <c r="S636" s="777"/>
      <c r="T636" s="782"/>
      <c r="U636" s="782"/>
      <c r="V636" s="782"/>
      <c r="W636" s="860"/>
      <c r="X636" s="782"/>
      <c r="Y636" s="831"/>
      <c r="Z636" s="783">
        <v>20239800</v>
      </c>
      <c r="AA636" s="777"/>
      <c r="AB636" s="791"/>
      <c r="AC636" s="777"/>
      <c r="AD636" s="792"/>
      <c r="AE636" s="786"/>
    </row>
    <row r="637" spans="1:31" s="787" customFormat="1" ht="23.25" customHeight="1">
      <c r="A637" s="777"/>
      <c r="B637" s="777"/>
      <c r="C637" s="778"/>
      <c r="D637" s="778"/>
      <c r="E637" s="778"/>
      <c r="F637" s="778"/>
      <c r="G637" s="779"/>
      <c r="H637" s="1914"/>
      <c r="I637" s="780"/>
      <c r="J637" s="781" t="s">
        <v>1207</v>
      </c>
      <c r="K637" s="777"/>
      <c r="L637" s="782"/>
      <c r="M637" s="777"/>
      <c r="N637" s="867"/>
      <c r="O637" s="859">
        <v>2</v>
      </c>
      <c r="P637" s="782"/>
      <c r="Q637" s="831">
        <v>2</v>
      </c>
      <c r="R637" s="783"/>
      <c r="S637" s="777"/>
      <c r="T637" s="782"/>
      <c r="U637" s="782"/>
      <c r="V637" s="782"/>
      <c r="W637" s="860"/>
      <c r="X637" s="782"/>
      <c r="Y637" s="831">
        <v>2</v>
      </c>
      <c r="Z637" s="783"/>
      <c r="AA637" s="777"/>
      <c r="AB637" s="791"/>
      <c r="AC637" s="777"/>
      <c r="AD637" s="792"/>
      <c r="AE637" s="786"/>
    </row>
    <row r="638" spans="1:31" s="787" customFormat="1" ht="24.75" customHeight="1">
      <c r="A638" s="777"/>
      <c r="B638" s="777"/>
      <c r="C638" s="778"/>
      <c r="D638" s="778"/>
      <c r="E638" s="778"/>
      <c r="F638" s="778"/>
      <c r="G638" s="779"/>
      <c r="H638" s="1914"/>
      <c r="I638" s="780"/>
      <c r="J638" s="781" t="s">
        <v>1208</v>
      </c>
      <c r="K638" s="777"/>
      <c r="L638" s="782"/>
      <c r="M638" s="777"/>
      <c r="N638" s="867"/>
      <c r="O638" s="859">
        <v>6</v>
      </c>
      <c r="P638" s="782"/>
      <c r="Q638" s="831">
        <v>6</v>
      </c>
      <c r="R638" s="783"/>
      <c r="S638" s="777"/>
      <c r="T638" s="782"/>
      <c r="U638" s="782"/>
      <c r="V638" s="782"/>
      <c r="W638" s="860"/>
      <c r="X638" s="782"/>
      <c r="Y638" s="831">
        <v>6</v>
      </c>
      <c r="Z638" s="783"/>
      <c r="AA638" s="777"/>
      <c r="AB638" s="791"/>
      <c r="AC638" s="777"/>
      <c r="AD638" s="792"/>
      <c r="AE638" s="786"/>
    </row>
    <row r="639" spans="1:31" s="787" customFormat="1" ht="38.25">
      <c r="A639" s="777"/>
      <c r="B639" s="777"/>
      <c r="C639" s="778" t="s">
        <v>146</v>
      </c>
      <c r="D639" s="778" t="s">
        <v>65</v>
      </c>
      <c r="E639" s="778" t="s">
        <v>65</v>
      </c>
      <c r="F639" s="778" t="s">
        <v>201</v>
      </c>
      <c r="G639" s="779"/>
      <c r="H639" s="1914"/>
      <c r="I639" s="780" t="s">
        <v>1209</v>
      </c>
      <c r="J639" s="781" t="s">
        <v>1210</v>
      </c>
      <c r="K639" s="777"/>
      <c r="L639" s="782">
        <v>100000000</v>
      </c>
      <c r="M639" s="777"/>
      <c r="N639" s="797">
        <v>72717250</v>
      </c>
      <c r="O639" s="868"/>
      <c r="P639" s="782">
        <v>27302656</v>
      </c>
      <c r="Q639" s="831">
        <v>0</v>
      </c>
      <c r="R639" s="783">
        <v>26412000</v>
      </c>
      <c r="S639" s="789"/>
      <c r="T639" s="869"/>
      <c r="U639" s="798"/>
      <c r="V639" s="791"/>
      <c r="W639" s="856"/>
      <c r="X639" s="791"/>
      <c r="Y639" s="831">
        <v>0</v>
      </c>
      <c r="Z639" s="783">
        <v>26412000</v>
      </c>
      <c r="AA639" s="870">
        <f>Y639</f>
        <v>0</v>
      </c>
      <c r="AB639" s="791">
        <f>Z639+N639</f>
        <v>99129250</v>
      </c>
      <c r="AC639" s="791"/>
      <c r="AD639" s="792">
        <f>(AB639/L639)*100</f>
        <v>99.129249999999999</v>
      </c>
      <c r="AE639" s="786"/>
    </row>
    <row r="640" spans="1:31" s="787" customFormat="1" ht="23.25" customHeight="1">
      <c r="A640" s="777"/>
      <c r="B640" s="777"/>
      <c r="C640" s="778"/>
      <c r="D640" s="778"/>
      <c r="E640" s="778"/>
      <c r="F640" s="778"/>
      <c r="G640" s="779"/>
      <c r="H640" s="1914"/>
      <c r="I640" s="780"/>
      <c r="J640" s="868" t="s">
        <v>1211</v>
      </c>
      <c r="K640" s="777"/>
      <c r="L640" s="782"/>
      <c r="M640" s="777"/>
      <c r="N640" s="797"/>
      <c r="O640" s="871">
        <v>1</v>
      </c>
      <c r="P640" s="782"/>
      <c r="Q640" s="871">
        <v>1</v>
      </c>
      <c r="R640" s="783"/>
      <c r="S640" s="789"/>
      <c r="T640" s="869"/>
      <c r="U640" s="798"/>
      <c r="V640" s="791"/>
      <c r="W640" s="856"/>
      <c r="X640" s="791"/>
      <c r="Y640" s="871">
        <v>1</v>
      </c>
      <c r="Z640" s="783"/>
      <c r="AA640" s="870"/>
      <c r="AB640" s="791"/>
      <c r="AC640" s="791"/>
      <c r="AD640" s="792"/>
      <c r="AE640" s="786"/>
    </row>
    <row r="641" spans="1:44" s="787" customFormat="1" ht="21.75" customHeight="1">
      <c r="A641" s="777"/>
      <c r="B641" s="777"/>
      <c r="C641" s="778"/>
      <c r="D641" s="778"/>
      <c r="E641" s="778"/>
      <c r="F641" s="778"/>
      <c r="G641" s="779"/>
      <c r="H641" s="1914"/>
      <c r="I641" s="780"/>
      <c r="J641" s="868" t="s">
        <v>1212</v>
      </c>
      <c r="K641" s="777"/>
      <c r="L641" s="782"/>
      <c r="M641" s="777"/>
      <c r="N641" s="797"/>
      <c r="O641" s="871">
        <v>1</v>
      </c>
      <c r="P641" s="782"/>
      <c r="Q641" s="871">
        <v>1</v>
      </c>
      <c r="R641" s="783"/>
      <c r="S641" s="789"/>
      <c r="T641" s="869"/>
      <c r="U641" s="798"/>
      <c r="V641" s="791"/>
      <c r="W641" s="856"/>
      <c r="X641" s="791"/>
      <c r="Y641" s="871">
        <v>1</v>
      </c>
      <c r="Z641" s="783"/>
      <c r="AA641" s="870"/>
      <c r="AB641" s="791"/>
      <c r="AC641" s="791"/>
      <c r="AD641" s="792"/>
      <c r="AE641" s="786"/>
    </row>
    <row r="642" spans="1:44" s="787" customFormat="1" ht="21.75" customHeight="1">
      <c r="A642" s="777"/>
      <c r="B642" s="777"/>
      <c r="C642" s="778"/>
      <c r="D642" s="778"/>
      <c r="E642" s="778"/>
      <c r="F642" s="778"/>
      <c r="G642" s="779"/>
      <c r="H642" s="1914"/>
      <c r="I642" s="780"/>
      <c r="J642" s="868" t="s">
        <v>1213</v>
      </c>
      <c r="K642" s="777"/>
      <c r="L642" s="782"/>
      <c r="M642" s="777"/>
      <c r="N642" s="797"/>
      <c r="O642" s="871">
        <v>1</v>
      </c>
      <c r="P642" s="782"/>
      <c r="Q642" s="871">
        <v>1</v>
      </c>
      <c r="R642" s="783"/>
      <c r="S642" s="789"/>
      <c r="T642" s="869"/>
      <c r="U642" s="798"/>
      <c r="V642" s="791"/>
      <c r="W642" s="856"/>
      <c r="X642" s="791"/>
      <c r="Y642" s="871">
        <v>1</v>
      </c>
      <c r="Z642" s="783"/>
      <c r="AA642" s="870"/>
      <c r="AB642" s="791"/>
      <c r="AC642" s="791"/>
      <c r="AD642" s="792"/>
      <c r="AE642" s="786"/>
    </row>
    <row r="643" spans="1:44" s="787" customFormat="1" ht="21.75" customHeight="1">
      <c r="A643" s="777"/>
      <c r="B643" s="777"/>
      <c r="C643" s="778"/>
      <c r="D643" s="778"/>
      <c r="E643" s="778"/>
      <c r="F643" s="778"/>
      <c r="G643" s="779"/>
      <c r="H643" s="1914"/>
      <c r="I643" s="780"/>
      <c r="J643" s="868" t="s">
        <v>1214</v>
      </c>
      <c r="K643" s="777"/>
      <c r="L643" s="782"/>
      <c r="M643" s="777"/>
      <c r="N643" s="797"/>
      <c r="O643" s="871">
        <v>1</v>
      </c>
      <c r="P643" s="782"/>
      <c r="Q643" s="871">
        <v>1</v>
      </c>
      <c r="R643" s="783"/>
      <c r="S643" s="789"/>
      <c r="T643" s="869"/>
      <c r="U643" s="798"/>
      <c r="V643" s="791"/>
      <c r="W643" s="856"/>
      <c r="X643" s="791"/>
      <c r="Y643" s="871">
        <v>1</v>
      </c>
      <c r="Z643" s="783"/>
      <c r="AA643" s="870"/>
      <c r="AB643" s="791"/>
      <c r="AC643" s="791"/>
      <c r="AD643" s="792"/>
      <c r="AE643" s="786"/>
    </row>
    <row r="644" spans="1:44" s="787" customFormat="1" ht="21.75" customHeight="1">
      <c r="A644" s="777"/>
      <c r="B644" s="777"/>
      <c r="C644" s="778" t="s">
        <v>146</v>
      </c>
      <c r="D644" s="778" t="s">
        <v>65</v>
      </c>
      <c r="E644" s="778" t="s">
        <v>65</v>
      </c>
      <c r="F644" s="778" t="s">
        <v>202</v>
      </c>
      <c r="G644" s="779"/>
      <c r="H644" s="1914"/>
      <c r="I644" s="780" t="s">
        <v>1215</v>
      </c>
      <c r="J644" s="872"/>
      <c r="K644" s="777"/>
      <c r="L644" s="782"/>
      <c r="M644" s="777"/>
      <c r="N644" s="866"/>
      <c r="O644" s="873"/>
      <c r="P644" s="782"/>
      <c r="Q644" s="831"/>
      <c r="R644" s="783"/>
      <c r="S644" s="777"/>
      <c r="T644" s="791"/>
      <c r="U644" s="782"/>
      <c r="V644" s="791"/>
      <c r="W644" s="860"/>
      <c r="X644" s="777"/>
      <c r="Y644" s="831"/>
      <c r="Z644" s="783"/>
      <c r="AA644" s="870"/>
      <c r="AB644" s="791"/>
      <c r="AC644" s="791"/>
      <c r="AD644" s="792"/>
      <c r="AE644" s="786"/>
    </row>
    <row r="645" spans="1:44" s="787" customFormat="1" ht="63.75">
      <c r="A645" s="777"/>
      <c r="B645" s="777"/>
      <c r="C645" s="778" t="s">
        <v>146</v>
      </c>
      <c r="D645" s="778" t="s">
        <v>65</v>
      </c>
      <c r="E645" s="778" t="s">
        <v>65</v>
      </c>
      <c r="F645" s="778" t="s">
        <v>165</v>
      </c>
      <c r="G645" s="779"/>
      <c r="H645" s="1914"/>
      <c r="I645" s="780" t="s">
        <v>1216</v>
      </c>
      <c r="J645" s="781" t="s">
        <v>1217</v>
      </c>
      <c r="K645" s="777"/>
      <c r="L645" s="782">
        <v>55000000</v>
      </c>
      <c r="M645" s="777"/>
      <c r="N645" s="782">
        <v>166852200</v>
      </c>
      <c r="O645" s="866"/>
      <c r="P645" s="782"/>
      <c r="Q645" s="831"/>
      <c r="R645" s="783"/>
      <c r="S645" s="789"/>
      <c r="T645" s="777"/>
      <c r="U645" s="798"/>
      <c r="V645" s="777"/>
      <c r="W645" s="856"/>
      <c r="X645" s="777"/>
      <c r="Y645" s="831"/>
      <c r="Z645" s="783"/>
      <c r="AA645" s="870">
        <f>Y645</f>
        <v>0</v>
      </c>
      <c r="AB645" s="791">
        <f>Z645+0</f>
        <v>0</v>
      </c>
      <c r="AC645" s="791"/>
      <c r="AD645" s="792">
        <f>(AB645/L645)*100</f>
        <v>0</v>
      </c>
      <c r="AE645" s="786"/>
    </row>
    <row r="646" spans="1:44" s="787" customFormat="1" ht="25.5">
      <c r="A646" s="777"/>
      <c r="B646" s="777"/>
      <c r="C646" s="778" t="s">
        <v>146</v>
      </c>
      <c r="D646" s="778" t="s">
        <v>65</v>
      </c>
      <c r="E646" s="778" t="s">
        <v>65</v>
      </c>
      <c r="F646" s="778" t="s">
        <v>164</v>
      </c>
      <c r="G646" s="779"/>
      <c r="H646" s="2475"/>
      <c r="I646" s="780" t="s">
        <v>1218</v>
      </c>
      <c r="J646" s="781" t="s">
        <v>1219</v>
      </c>
      <c r="K646" s="777"/>
      <c r="L646" s="782">
        <v>100000000</v>
      </c>
      <c r="M646" s="777"/>
      <c r="N646" s="797"/>
      <c r="O646" s="871"/>
      <c r="P646" s="782">
        <v>61443180</v>
      </c>
      <c r="Q646" s="831"/>
      <c r="R646" s="783">
        <v>422000</v>
      </c>
      <c r="S646" s="789"/>
      <c r="T646" s="777"/>
      <c r="U646" s="798"/>
      <c r="V646" s="777"/>
      <c r="W646" s="856"/>
      <c r="X646" s="777"/>
      <c r="Y646" s="831"/>
      <c r="Z646" s="783">
        <v>422000</v>
      </c>
      <c r="AA646" s="870"/>
      <c r="AB646" s="791">
        <f>Z646+N646</f>
        <v>422000</v>
      </c>
      <c r="AC646" s="791"/>
      <c r="AD646" s="792">
        <f>(AB646/L646)*100</f>
        <v>0.42199999999999999</v>
      </c>
      <c r="AE646" s="786"/>
    </row>
    <row r="647" spans="1:44" s="787" customFormat="1" ht="25.5" customHeight="1">
      <c r="A647" s="777"/>
      <c r="B647" s="777"/>
      <c r="C647" s="778"/>
      <c r="D647" s="778"/>
      <c r="E647" s="778"/>
      <c r="F647" s="778"/>
      <c r="G647" s="779"/>
      <c r="H647" s="2475"/>
      <c r="I647" s="780"/>
      <c r="J647" s="781" t="s">
        <v>1220</v>
      </c>
      <c r="K647" s="777"/>
      <c r="L647" s="782"/>
      <c r="M647" s="777"/>
      <c r="N647" s="797"/>
      <c r="O647" s="871">
        <v>620</v>
      </c>
      <c r="P647" s="782"/>
      <c r="Q647" s="831">
        <v>0</v>
      </c>
      <c r="R647" s="783"/>
      <c r="S647" s="789"/>
      <c r="T647" s="777"/>
      <c r="U647" s="798"/>
      <c r="V647" s="777"/>
      <c r="W647" s="856"/>
      <c r="X647" s="777"/>
      <c r="Y647" s="831">
        <v>0</v>
      </c>
      <c r="Z647" s="783"/>
      <c r="AA647" s="870"/>
      <c r="AB647" s="791"/>
      <c r="AC647" s="791"/>
      <c r="AD647" s="792"/>
      <c r="AE647" s="786"/>
    </row>
    <row r="648" spans="1:44" s="787" customFormat="1" ht="22.5" customHeight="1">
      <c r="A648" s="777"/>
      <c r="B648" s="777"/>
      <c r="C648" s="779"/>
      <c r="D648" s="779"/>
      <c r="E648" s="779"/>
      <c r="F648" s="779"/>
      <c r="G648" s="779"/>
      <c r="H648" s="2475"/>
      <c r="I648" s="854"/>
      <c r="J648" s="872" t="s">
        <v>1221</v>
      </c>
      <c r="K648" s="777"/>
      <c r="L648" s="782"/>
      <c r="M648" s="777"/>
      <c r="N648" s="866"/>
      <c r="O648" s="859">
        <v>200</v>
      </c>
      <c r="P648" s="782"/>
      <c r="Q648" s="831">
        <v>0</v>
      </c>
      <c r="R648" s="783"/>
      <c r="S648" s="777"/>
      <c r="T648" s="782"/>
      <c r="U648" s="782"/>
      <c r="V648" s="782"/>
      <c r="W648" s="860"/>
      <c r="X648" s="782"/>
      <c r="Y648" s="831">
        <v>0</v>
      </c>
      <c r="Z648" s="783"/>
      <c r="AA648" s="777"/>
      <c r="AB648" s="791"/>
      <c r="AC648" s="777"/>
      <c r="AD648" s="792"/>
      <c r="AE648" s="786"/>
    </row>
    <row r="649" spans="1:44" s="876" customFormat="1" ht="36.75" customHeight="1">
      <c r="A649" s="819"/>
      <c r="B649" s="819"/>
      <c r="C649" s="820" t="s">
        <v>146</v>
      </c>
      <c r="D649" s="820" t="s">
        <v>65</v>
      </c>
      <c r="E649" s="820" t="s">
        <v>161</v>
      </c>
      <c r="F649" s="821"/>
      <c r="G649" s="821"/>
      <c r="H649" s="822"/>
      <c r="I649" s="834" t="s">
        <v>1222</v>
      </c>
      <c r="J649" s="757" t="s">
        <v>1223</v>
      </c>
      <c r="K649" s="819"/>
      <c r="L649" s="835">
        <f>L650</f>
        <v>75000000</v>
      </c>
      <c r="M649" s="819"/>
      <c r="N649" s="835">
        <v>50000000</v>
      </c>
      <c r="O649" s="861"/>
      <c r="P649" s="835">
        <f>P650</f>
        <v>0</v>
      </c>
      <c r="Q649" s="874"/>
      <c r="R649" s="835">
        <f>R650</f>
        <v>0</v>
      </c>
      <c r="S649" s="863"/>
      <c r="T649" s="835"/>
      <c r="U649" s="864"/>
      <c r="V649" s="835"/>
      <c r="W649" s="865"/>
      <c r="X649" s="835"/>
      <c r="Y649" s="874"/>
      <c r="Z649" s="835">
        <f>Z650</f>
        <v>0</v>
      </c>
      <c r="AA649" s="819"/>
      <c r="AB649" s="829">
        <f>Z649+N649</f>
        <v>50000000</v>
      </c>
      <c r="AC649" s="819"/>
      <c r="AD649" s="830">
        <f>(AB649/L649)*100</f>
        <v>66.666666666666657</v>
      </c>
      <c r="AE649" s="875"/>
    </row>
    <row r="650" spans="1:44" s="787" customFormat="1" ht="46.5" customHeight="1">
      <c r="A650" s="777"/>
      <c r="B650" s="777"/>
      <c r="C650" s="778" t="s">
        <v>146</v>
      </c>
      <c r="D650" s="778" t="s">
        <v>65</v>
      </c>
      <c r="E650" s="778" t="s">
        <v>161</v>
      </c>
      <c r="F650" s="778" t="s">
        <v>66</v>
      </c>
      <c r="G650" s="779"/>
      <c r="H650" s="1914"/>
      <c r="I650" s="780" t="s">
        <v>1224</v>
      </c>
      <c r="J650" s="781" t="s">
        <v>1225</v>
      </c>
      <c r="K650" s="777"/>
      <c r="L650" s="782">
        <v>75000000</v>
      </c>
      <c r="M650" s="777"/>
      <c r="N650" s="782"/>
      <c r="O650" s="859"/>
      <c r="P650" s="782"/>
      <c r="Q650" s="831"/>
      <c r="R650" s="783"/>
      <c r="S650" s="789"/>
      <c r="T650" s="782"/>
      <c r="U650" s="798"/>
      <c r="V650" s="782"/>
      <c r="W650" s="856"/>
      <c r="X650" s="782"/>
      <c r="Y650" s="831"/>
      <c r="Z650" s="783"/>
      <c r="AA650" s="777"/>
      <c r="AB650" s="791">
        <f>Z650+N650</f>
        <v>0</v>
      </c>
      <c r="AC650" s="777"/>
      <c r="AD650" s="792">
        <f>(AB650/L650)*100</f>
        <v>0</v>
      </c>
      <c r="AE650" s="786"/>
    </row>
    <row r="651" spans="1:44" s="776" customFormat="1" ht="48" customHeight="1">
      <c r="A651" s="819"/>
      <c r="B651" s="819"/>
      <c r="C651" s="820" t="s">
        <v>146</v>
      </c>
      <c r="D651" s="820" t="s">
        <v>65</v>
      </c>
      <c r="E651" s="820" t="s">
        <v>197</v>
      </c>
      <c r="F651" s="821"/>
      <c r="G651" s="821"/>
      <c r="H651" s="822"/>
      <c r="I651" s="834" t="s">
        <v>1226</v>
      </c>
      <c r="J651" s="877" t="s">
        <v>1227</v>
      </c>
      <c r="K651" s="819"/>
      <c r="L651" s="835">
        <f>L652</f>
        <v>80000000</v>
      </c>
      <c r="M651" s="819"/>
      <c r="N651" s="835">
        <v>53524450</v>
      </c>
      <c r="O651" s="861"/>
      <c r="P651" s="835">
        <f>P652</f>
        <v>19369900</v>
      </c>
      <c r="Q651" s="862">
        <f>+R651/P651</f>
        <v>8.1435629507638135E-2</v>
      </c>
      <c r="R651" s="837">
        <f>R652</f>
        <v>1577400</v>
      </c>
      <c r="S651" s="863"/>
      <c r="T651" s="878"/>
      <c r="U651" s="864"/>
      <c r="V651" s="878"/>
      <c r="W651" s="865"/>
      <c r="X651" s="835"/>
      <c r="Y651" s="828">
        <f>+Z651/P651</f>
        <v>8.1435629507638135E-2</v>
      </c>
      <c r="Z651" s="837">
        <f>Z652</f>
        <v>1577400</v>
      </c>
      <c r="AA651" s="819"/>
      <c r="AB651" s="829">
        <f>Z651+N651</f>
        <v>55101850</v>
      </c>
      <c r="AC651" s="819"/>
      <c r="AD651" s="830">
        <f>(AB651/L651)*100</f>
        <v>68.877312500000002</v>
      </c>
      <c r="AE651" s="839"/>
    </row>
    <row r="652" spans="1:44" s="787" customFormat="1" ht="52.5" customHeight="1">
      <c r="A652" s="813"/>
      <c r="B652" s="813"/>
      <c r="C652" s="879" t="s">
        <v>146</v>
      </c>
      <c r="D652" s="879" t="s">
        <v>65</v>
      </c>
      <c r="E652" s="879" t="s">
        <v>197</v>
      </c>
      <c r="F652" s="879" t="s">
        <v>66</v>
      </c>
      <c r="G652" s="880"/>
      <c r="H652" s="815"/>
      <c r="I652" s="780" t="s">
        <v>1228</v>
      </c>
      <c r="J652" s="781" t="s">
        <v>1198</v>
      </c>
      <c r="K652" s="777"/>
      <c r="L652" s="782">
        <v>80000000</v>
      </c>
      <c r="M652" s="777"/>
      <c r="N652" s="782"/>
      <c r="O652" s="859"/>
      <c r="P652" s="782">
        <v>19369900</v>
      </c>
      <c r="Q652" s="831">
        <v>0</v>
      </c>
      <c r="R652" s="783">
        <v>1577400</v>
      </c>
      <c r="S652" s="789"/>
      <c r="T652" s="881"/>
      <c r="U652" s="798"/>
      <c r="V652" s="882"/>
      <c r="W652" s="856"/>
      <c r="X652" s="883"/>
      <c r="Y652" s="831">
        <v>0</v>
      </c>
      <c r="Z652" s="783">
        <v>1577400</v>
      </c>
      <c r="AA652" s="777"/>
      <c r="AB652" s="791">
        <f>Z652+N652</f>
        <v>1577400</v>
      </c>
      <c r="AC652" s="777"/>
      <c r="AD652" s="792">
        <f>(AB652/L652)*100</f>
        <v>1.9717499999999999</v>
      </c>
      <c r="AE652" s="786"/>
    </row>
    <row r="653" spans="1:44" s="787" customFormat="1" ht="42.75" customHeight="1" thickBot="1">
      <c r="A653" s="884"/>
      <c r="B653" s="884"/>
      <c r="C653" s="885"/>
      <c r="D653" s="885"/>
      <c r="E653" s="885"/>
      <c r="F653" s="885"/>
      <c r="G653" s="886"/>
      <c r="H653" s="887"/>
      <c r="I653" s="888"/>
      <c r="J653" s="889" t="s">
        <v>1229</v>
      </c>
      <c r="K653" s="890"/>
      <c r="L653" s="891"/>
      <c r="M653" s="890"/>
      <c r="N653" s="891">
        <v>5546598550</v>
      </c>
      <c r="O653" s="892">
        <v>1</v>
      </c>
      <c r="P653" s="891"/>
      <c r="Q653" s="893">
        <v>1</v>
      </c>
      <c r="R653" s="894"/>
      <c r="S653" s="890"/>
      <c r="T653" s="891"/>
      <c r="U653" s="890"/>
      <c r="V653" s="891"/>
      <c r="W653" s="895"/>
      <c r="X653" s="891"/>
      <c r="Y653" s="893">
        <v>1</v>
      </c>
      <c r="Z653" s="894"/>
      <c r="AA653" s="890"/>
      <c r="AB653" s="896"/>
      <c r="AC653" s="890"/>
      <c r="AD653" s="897"/>
      <c r="AE653" s="786"/>
    </row>
    <row r="654" spans="1:44" s="776" customFormat="1" ht="51.75" customHeight="1">
      <c r="A654" s="759">
        <v>1</v>
      </c>
      <c r="B654" s="760" t="s">
        <v>1039</v>
      </c>
      <c r="C654" s="761" t="s">
        <v>146</v>
      </c>
      <c r="D654" s="761" t="s">
        <v>65</v>
      </c>
      <c r="E654" s="761" t="s">
        <v>161</v>
      </c>
      <c r="F654" s="761" t="s">
        <v>155</v>
      </c>
      <c r="G654" s="762"/>
      <c r="H654" s="763"/>
      <c r="I654" s="764" t="s">
        <v>1040</v>
      </c>
      <c r="J654" s="765" t="s">
        <v>1041</v>
      </c>
      <c r="K654" s="766">
        <v>1</v>
      </c>
      <c r="L654" s="767">
        <f>L657+L660</f>
        <v>300000000</v>
      </c>
      <c r="M654" s="768">
        <v>6</v>
      </c>
      <c r="N654" s="767">
        <v>136371900</v>
      </c>
      <c r="O654" s="769"/>
      <c r="P654" s="767">
        <f>P660</f>
        <v>66314672</v>
      </c>
      <c r="Q654" s="770">
        <f>R654/P654</f>
        <v>0.10208902186834311</v>
      </c>
      <c r="R654" s="771">
        <f>R660</f>
        <v>6770000</v>
      </c>
      <c r="S654" s="759"/>
      <c r="T654" s="767"/>
      <c r="U654" s="759"/>
      <c r="V654" s="767"/>
      <c r="W654" s="762"/>
      <c r="X654" s="767"/>
      <c r="Y654" s="770">
        <f>+Z654/P654</f>
        <v>0.10208902186834311</v>
      </c>
      <c r="Z654" s="771">
        <f>Z660</f>
        <v>6770000</v>
      </c>
      <c r="AA654" s="759"/>
      <c r="AB654" s="772">
        <f>Z654+N654</f>
        <v>143141900</v>
      </c>
      <c r="AC654" s="759"/>
      <c r="AD654" s="773">
        <f>(AB654/L654)*100</f>
        <v>47.713966666666671</v>
      </c>
      <c r="AE654" s="774" t="s">
        <v>1042</v>
      </c>
      <c r="AF654" s="775"/>
      <c r="AG654" s="775"/>
      <c r="AH654" s="775"/>
      <c r="AI654" s="775"/>
      <c r="AJ654" s="775"/>
      <c r="AK654" s="775"/>
      <c r="AL654" s="775"/>
      <c r="AM654" s="775"/>
      <c r="AN654" s="775"/>
      <c r="AO654" s="775"/>
      <c r="AP654" s="775"/>
      <c r="AQ654" s="775"/>
      <c r="AR654" s="775"/>
    </row>
    <row r="655" spans="1:44" s="787" customFormat="1" ht="29.25" customHeight="1">
      <c r="A655" s="777"/>
      <c r="B655" s="777"/>
      <c r="C655" s="778" t="s">
        <v>146</v>
      </c>
      <c r="D655" s="778" t="s">
        <v>65</v>
      </c>
      <c r="E655" s="778" t="s">
        <v>161</v>
      </c>
      <c r="F655" s="778" t="s">
        <v>197</v>
      </c>
      <c r="G655" s="779"/>
      <c r="H655" s="1914"/>
      <c r="I655" s="780" t="s">
        <v>1043</v>
      </c>
      <c r="J655" s="781"/>
      <c r="K655" s="777"/>
      <c r="L655" s="782"/>
      <c r="M655" s="777"/>
      <c r="N655" s="782"/>
      <c r="O655" s="777"/>
      <c r="P655" s="782"/>
      <c r="Q655" s="777"/>
      <c r="R655" s="783"/>
      <c r="S655" s="777"/>
      <c r="T655" s="782"/>
      <c r="U655" s="777"/>
      <c r="V655" s="782"/>
      <c r="W655" s="779"/>
      <c r="X655" s="782"/>
      <c r="Y655" s="777"/>
      <c r="Z655" s="783"/>
      <c r="AA655" s="777"/>
      <c r="AB655" s="784"/>
      <c r="AC655" s="777"/>
      <c r="AD655" s="785"/>
      <c r="AE655" s="786"/>
    </row>
    <row r="656" spans="1:44" s="787" customFormat="1" ht="37.5" customHeight="1">
      <c r="A656" s="777"/>
      <c r="B656" s="777"/>
      <c r="C656" s="778" t="s">
        <v>146</v>
      </c>
      <c r="D656" s="778" t="s">
        <v>65</v>
      </c>
      <c r="E656" s="778" t="s">
        <v>161</v>
      </c>
      <c r="F656" s="778" t="s">
        <v>202</v>
      </c>
      <c r="G656" s="779"/>
      <c r="H656" s="1914"/>
      <c r="I656" s="780" t="s">
        <v>1044</v>
      </c>
      <c r="J656" s="781"/>
      <c r="K656" s="777"/>
      <c r="L656" s="782"/>
      <c r="M656" s="777"/>
      <c r="N656" s="782"/>
      <c r="O656" s="777"/>
      <c r="P656" s="782"/>
      <c r="Q656" s="777"/>
      <c r="R656" s="783"/>
      <c r="S656" s="777"/>
      <c r="T656" s="782"/>
      <c r="U656" s="777"/>
      <c r="V656" s="782"/>
      <c r="W656" s="779"/>
      <c r="X656" s="782"/>
      <c r="Y656" s="777"/>
      <c r="Z656" s="783"/>
      <c r="AA656" s="777"/>
      <c r="AB656" s="784"/>
      <c r="AC656" s="777"/>
      <c r="AD656" s="785"/>
      <c r="AE656" s="786"/>
    </row>
    <row r="657" spans="1:31" s="787" customFormat="1" ht="99" customHeight="1">
      <c r="A657" s="777"/>
      <c r="B657" s="777"/>
      <c r="C657" s="778" t="s">
        <v>146</v>
      </c>
      <c r="D657" s="778" t="s">
        <v>65</v>
      </c>
      <c r="E657" s="778" t="s">
        <v>161</v>
      </c>
      <c r="F657" s="778" t="s">
        <v>155</v>
      </c>
      <c r="G657" s="779"/>
      <c r="H657" s="1914"/>
      <c r="I657" s="780" t="s">
        <v>1045</v>
      </c>
      <c r="J657" s="781" t="s">
        <v>1046</v>
      </c>
      <c r="K657" s="777" t="s">
        <v>1047</v>
      </c>
      <c r="L657" s="782">
        <v>150000000</v>
      </c>
      <c r="M657" s="777" t="str">
        <f>K657</f>
        <v>Sosialisasi Program Pengelolaan Bank Sampah dan 3R</v>
      </c>
      <c r="N657" s="788">
        <v>51852850</v>
      </c>
      <c r="O657" s="777"/>
      <c r="P657" s="782"/>
      <c r="Q657" s="789"/>
      <c r="R657" s="783"/>
      <c r="S657" s="789"/>
      <c r="T657" s="782"/>
      <c r="U657" s="789"/>
      <c r="V657" s="782"/>
      <c r="W657" s="790"/>
      <c r="X657" s="782"/>
      <c r="Y657" s="789"/>
      <c r="Z657" s="783"/>
      <c r="AA657" s="777"/>
      <c r="AB657" s="791"/>
      <c r="AC657" s="777"/>
      <c r="AD657" s="792">
        <f>(AB657/L657)*100</f>
        <v>0</v>
      </c>
      <c r="AE657" s="786"/>
    </row>
    <row r="658" spans="1:31" s="787" customFormat="1" ht="54.75" customHeight="1">
      <c r="A658" s="777"/>
      <c r="B658" s="777"/>
      <c r="C658" s="778" t="s">
        <v>146</v>
      </c>
      <c r="D658" s="778" t="s">
        <v>65</v>
      </c>
      <c r="E658" s="778" t="s">
        <v>161</v>
      </c>
      <c r="F658" s="778" t="s">
        <v>67</v>
      </c>
      <c r="G658" s="779"/>
      <c r="H658" s="1914"/>
      <c r="I658" s="780" t="s">
        <v>1048</v>
      </c>
      <c r="J658" s="781"/>
      <c r="K658" s="777"/>
      <c r="L658" s="782"/>
      <c r="M658" s="777"/>
      <c r="N658" s="782"/>
      <c r="O658" s="777"/>
      <c r="P658" s="782"/>
      <c r="Q658" s="777"/>
      <c r="R658" s="783"/>
      <c r="S658" s="777"/>
      <c r="T658" s="782"/>
      <c r="U658" s="789"/>
      <c r="V658" s="782"/>
      <c r="W658" s="779"/>
      <c r="X658" s="782"/>
      <c r="Y658" s="777"/>
      <c r="Z658" s="783"/>
      <c r="AA658" s="777"/>
      <c r="AB658" s="791"/>
      <c r="AC658" s="777"/>
      <c r="AD658" s="792"/>
      <c r="AE658" s="786"/>
    </row>
    <row r="659" spans="1:31" s="787" customFormat="1" ht="38.25" customHeight="1">
      <c r="A659" s="777"/>
      <c r="B659" s="777"/>
      <c r="C659" s="778" t="s">
        <v>146</v>
      </c>
      <c r="D659" s="778" t="s">
        <v>65</v>
      </c>
      <c r="E659" s="778" t="s">
        <v>161</v>
      </c>
      <c r="F659" s="778" t="s">
        <v>163</v>
      </c>
      <c r="G659" s="779"/>
      <c r="H659" s="1914"/>
      <c r="I659" s="780" t="s">
        <v>1049</v>
      </c>
      <c r="J659" s="781"/>
      <c r="K659" s="777"/>
      <c r="L659" s="782"/>
      <c r="M659" s="777"/>
      <c r="N659" s="782"/>
      <c r="O659" s="777"/>
      <c r="P659" s="782"/>
      <c r="Q659" s="777"/>
      <c r="R659" s="783"/>
      <c r="S659" s="777"/>
      <c r="T659" s="782"/>
      <c r="U659" s="777"/>
      <c r="V659" s="782"/>
      <c r="W659" s="793"/>
      <c r="X659" s="782"/>
      <c r="Y659" s="777"/>
      <c r="Z659" s="783"/>
      <c r="AA659" s="777"/>
      <c r="AB659" s="791"/>
      <c r="AC659" s="777"/>
      <c r="AD659" s="792"/>
      <c r="AE659" s="786"/>
    </row>
    <row r="660" spans="1:31" s="787" customFormat="1" ht="39" customHeight="1">
      <c r="A660" s="777"/>
      <c r="B660" s="777"/>
      <c r="C660" s="778" t="s">
        <v>146</v>
      </c>
      <c r="D660" s="778" t="s">
        <v>65</v>
      </c>
      <c r="E660" s="778" t="s">
        <v>161</v>
      </c>
      <c r="F660" s="778" t="s">
        <v>360</v>
      </c>
      <c r="G660" s="779"/>
      <c r="H660" s="1914"/>
      <c r="I660" s="780" t="s">
        <v>1050</v>
      </c>
      <c r="J660" s="781" t="s">
        <v>1051</v>
      </c>
      <c r="K660" s="777">
        <v>15</v>
      </c>
      <c r="L660" s="782">
        <v>150000000</v>
      </c>
      <c r="M660" s="777">
        <f>K660</f>
        <v>15</v>
      </c>
      <c r="N660" s="782">
        <v>84519050</v>
      </c>
      <c r="O660" s="777">
        <f>M660</f>
        <v>15</v>
      </c>
      <c r="P660" s="782">
        <v>66314672</v>
      </c>
      <c r="Q660" s="794">
        <v>7</v>
      </c>
      <c r="R660" s="795">
        <v>6770000</v>
      </c>
      <c r="S660" s="789"/>
      <c r="T660" s="782"/>
      <c r="U660" s="789"/>
      <c r="V660" s="782"/>
      <c r="W660" s="790"/>
      <c r="X660" s="782"/>
      <c r="Y660" s="794">
        <v>7</v>
      </c>
      <c r="Z660" s="795">
        <v>6770000</v>
      </c>
      <c r="AA660" s="777">
        <f>Y660</f>
        <v>7</v>
      </c>
      <c r="AB660" s="791">
        <f>Z660+N660</f>
        <v>91289050</v>
      </c>
      <c r="AC660" s="777"/>
      <c r="AD660" s="792">
        <f t="shared" ref="AD660:AD715" si="179">(AB660/L660)*100</f>
        <v>60.859366666666673</v>
      </c>
      <c r="AE660" s="786"/>
    </row>
    <row r="661" spans="1:31" s="787" customFormat="1" ht="33.75" customHeight="1">
      <c r="A661" s="777"/>
      <c r="B661" s="777"/>
      <c r="C661" s="778" t="s">
        <v>146</v>
      </c>
      <c r="D661" s="778" t="s">
        <v>65</v>
      </c>
      <c r="E661" s="778" t="s">
        <v>161</v>
      </c>
      <c r="F661" s="778" t="s">
        <v>401</v>
      </c>
      <c r="G661" s="779"/>
      <c r="H661" s="796"/>
      <c r="I661" s="780" t="s">
        <v>1052</v>
      </c>
      <c r="J661" s="781"/>
      <c r="K661" s="777"/>
      <c r="L661" s="782"/>
      <c r="M661" s="777"/>
      <c r="N661" s="782"/>
      <c r="O661" s="777"/>
      <c r="P661" s="782"/>
      <c r="Q661" s="777"/>
      <c r="R661" s="783"/>
      <c r="S661" s="777"/>
      <c r="T661" s="782"/>
      <c r="U661" s="777"/>
      <c r="V661" s="797"/>
      <c r="W661" s="779"/>
      <c r="X661" s="798"/>
      <c r="Y661" s="777"/>
      <c r="Z661" s="783"/>
      <c r="AA661" s="777"/>
      <c r="AB661" s="791"/>
      <c r="AC661" s="777"/>
      <c r="AD661" s="792"/>
      <c r="AE661" s="786"/>
    </row>
    <row r="662" spans="1:31" s="776" customFormat="1" ht="54.75" customHeight="1">
      <c r="A662" s="799">
        <v>2</v>
      </c>
      <c r="B662" s="800" t="s">
        <v>1053</v>
      </c>
      <c r="C662" s="801" t="s">
        <v>146</v>
      </c>
      <c r="D662" s="801" t="s">
        <v>65</v>
      </c>
      <c r="E662" s="801" t="s">
        <v>161</v>
      </c>
      <c r="F662" s="801" t="s">
        <v>166</v>
      </c>
      <c r="G662" s="802"/>
      <c r="H662" s="803"/>
      <c r="I662" s="804" t="s">
        <v>1054</v>
      </c>
      <c r="J662" s="800" t="s">
        <v>1055</v>
      </c>
      <c r="K662" s="805">
        <v>0.5</v>
      </c>
      <c r="L662" s="806">
        <f>SUM(L663:L683)</f>
        <v>5330000000</v>
      </c>
      <c r="M662" s="805">
        <f>25%</f>
        <v>0.25</v>
      </c>
      <c r="N662" s="806">
        <v>2133746478</v>
      </c>
      <c r="O662" s="807">
        <v>0.3</v>
      </c>
      <c r="P662" s="806">
        <f>SUM(P663:P687)</f>
        <v>957596210</v>
      </c>
      <c r="Q662" s="808">
        <f>R662/P662</f>
        <v>0.30836741198046302</v>
      </c>
      <c r="R662" s="806">
        <f>SUM(R663:R687)</f>
        <v>295291465</v>
      </c>
      <c r="S662" s="799"/>
      <c r="T662" s="806"/>
      <c r="U662" s="799"/>
      <c r="V662" s="806"/>
      <c r="W662" s="802"/>
      <c r="X662" s="806"/>
      <c r="Y662" s="808">
        <f>+Z662/P662</f>
        <v>0.30836741198046302</v>
      </c>
      <c r="Z662" s="806">
        <f>SUM(Z663:Z687)</f>
        <v>295291465</v>
      </c>
      <c r="AA662" s="799"/>
      <c r="AB662" s="809">
        <f t="shared" ref="AB662:AB715" si="180">Z662+N662</f>
        <v>2429037943</v>
      </c>
      <c r="AC662" s="799"/>
      <c r="AD662" s="810">
        <f t="shared" si="179"/>
        <v>45.572944521575984</v>
      </c>
      <c r="AE662" s="774" t="s">
        <v>1056</v>
      </c>
    </row>
    <row r="663" spans="1:31" s="787" customFormat="1" ht="69.75" customHeight="1">
      <c r="A663" s="777"/>
      <c r="B663" s="777"/>
      <c r="C663" s="778" t="s">
        <v>146</v>
      </c>
      <c r="D663" s="778" t="s">
        <v>65</v>
      </c>
      <c r="E663" s="778" t="s">
        <v>161</v>
      </c>
      <c r="F663" s="778" t="s">
        <v>166</v>
      </c>
      <c r="G663" s="778" t="s">
        <v>66</v>
      </c>
      <c r="H663" s="1914"/>
      <c r="I663" s="780" t="s">
        <v>1057</v>
      </c>
      <c r="J663" s="781" t="s">
        <v>1058</v>
      </c>
      <c r="K663" s="777" t="str">
        <f>J663</f>
        <v>Jumlah Lokasi Titik Pantau dan Frekwensi Pemantauan</v>
      </c>
      <c r="L663" s="782">
        <v>500000000</v>
      </c>
      <c r="M663" s="777" t="str">
        <f>K663</f>
        <v>Jumlah Lokasi Titik Pantau dan Frekwensi Pemantauan</v>
      </c>
      <c r="N663" s="782">
        <v>334086400</v>
      </c>
      <c r="O663" s="777" t="s">
        <v>1059</v>
      </c>
      <c r="P663" s="782">
        <v>279169350</v>
      </c>
      <c r="Q663" s="789" t="s">
        <v>1060</v>
      </c>
      <c r="R663" s="783">
        <v>154222413</v>
      </c>
      <c r="S663" s="789"/>
      <c r="T663" s="782"/>
      <c r="U663" s="789"/>
      <c r="V663" s="782"/>
      <c r="W663" s="790"/>
      <c r="X663" s="782"/>
      <c r="Y663" s="811" t="s">
        <v>1060</v>
      </c>
      <c r="Z663" s="783">
        <v>154222413</v>
      </c>
      <c r="AA663" s="777" t="str">
        <f>Y663</f>
        <v>13 ( 1 Kali )</v>
      </c>
      <c r="AB663" s="791">
        <f t="shared" si="180"/>
        <v>488308813</v>
      </c>
      <c r="AC663" s="777"/>
      <c r="AD663" s="792">
        <f t="shared" si="179"/>
        <v>97.661762600000003</v>
      </c>
      <c r="AE663" s="786"/>
    </row>
    <row r="664" spans="1:31" s="787" customFormat="1" ht="47.25" customHeight="1">
      <c r="A664" s="777"/>
      <c r="B664" s="777"/>
      <c r="C664" s="778" t="s">
        <v>146</v>
      </c>
      <c r="D664" s="778" t="s">
        <v>65</v>
      </c>
      <c r="E664" s="778" t="s">
        <v>161</v>
      </c>
      <c r="F664" s="778" t="s">
        <v>166</v>
      </c>
      <c r="G664" s="778" t="s">
        <v>196</v>
      </c>
      <c r="H664" s="1914"/>
      <c r="I664" s="780" t="s">
        <v>1061</v>
      </c>
      <c r="J664" s="781" t="s">
        <v>1062</v>
      </c>
      <c r="K664" s="777" t="s">
        <v>1063</v>
      </c>
      <c r="L664" s="782">
        <v>2000000000</v>
      </c>
      <c r="M664" s="777" t="s">
        <v>1064</v>
      </c>
      <c r="N664" s="782">
        <v>939068000</v>
      </c>
      <c r="O664" s="777"/>
      <c r="P664" s="782"/>
      <c r="Q664" s="777"/>
      <c r="R664" s="783"/>
      <c r="S664" s="777"/>
      <c r="T664" s="812"/>
      <c r="U664" s="813"/>
      <c r="V664" s="814"/>
      <c r="W664" s="790"/>
      <c r="X664" s="798"/>
      <c r="Y664" s="777"/>
      <c r="Z664" s="783"/>
      <c r="AA664" s="791"/>
      <c r="AB664" s="791">
        <f t="shared" si="180"/>
        <v>939068000</v>
      </c>
      <c r="AC664" s="791"/>
      <c r="AD664" s="792">
        <f t="shared" si="179"/>
        <v>46.953400000000002</v>
      </c>
      <c r="AE664" s="786"/>
    </row>
    <row r="665" spans="1:31" s="787" customFormat="1" ht="37.5" customHeight="1">
      <c r="A665" s="777"/>
      <c r="B665" s="777"/>
      <c r="C665" s="778" t="s">
        <v>146</v>
      </c>
      <c r="D665" s="778" t="s">
        <v>65</v>
      </c>
      <c r="E665" s="778" t="s">
        <v>161</v>
      </c>
      <c r="F665" s="778" t="s">
        <v>166</v>
      </c>
      <c r="G665" s="778" t="s">
        <v>95</v>
      </c>
      <c r="H665" s="1914"/>
      <c r="I665" s="780" t="s">
        <v>1065</v>
      </c>
      <c r="J665" s="781" t="s">
        <v>1066</v>
      </c>
      <c r="K665" s="777" t="s">
        <v>1067</v>
      </c>
      <c r="L665" s="782">
        <v>250000000</v>
      </c>
      <c r="M665" s="777" t="s">
        <v>1068</v>
      </c>
      <c r="N665" s="782">
        <v>118491576</v>
      </c>
      <c r="O665" s="777">
        <v>17</v>
      </c>
      <c r="P665" s="782">
        <v>109074120</v>
      </c>
      <c r="Q665" s="794">
        <v>3</v>
      </c>
      <c r="R665" s="783">
        <v>25075120</v>
      </c>
      <c r="S665" s="789"/>
      <c r="T665" s="815"/>
      <c r="U665" s="789"/>
      <c r="V665" s="813"/>
      <c r="W665" s="790"/>
      <c r="X665" s="816"/>
      <c r="Y665" s="794">
        <v>3</v>
      </c>
      <c r="Z665" s="783">
        <v>25075120</v>
      </c>
      <c r="AA665" s="791">
        <f>Y665</f>
        <v>3</v>
      </c>
      <c r="AB665" s="791">
        <f t="shared" si="180"/>
        <v>143566696</v>
      </c>
      <c r="AC665" s="791"/>
      <c r="AD665" s="792">
        <f t="shared" si="179"/>
        <v>57.4266784</v>
      </c>
      <c r="AE665" s="786"/>
    </row>
    <row r="666" spans="1:31" s="787" customFormat="1" ht="39" customHeight="1">
      <c r="A666" s="777"/>
      <c r="B666" s="777"/>
      <c r="C666" s="778" t="s">
        <v>146</v>
      </c>
      <c r="D666" s="778" t="s">
        <v>65</v>
      </c>
      <c r="E666" s="778" t="s">
        <v>161</v>
      </c>
      <c r="F666" s="778" t="s">
        <v>166</v>
      </c>
      <c r="G666" s="778" t="s">
        <v>163</v>
      </c>
      <c r="H666" s="1914"/>
      <c r="I666" s="780" t="s">
        <v>1069</v>
      </c>
      <c r="J666" s="781" t="s">
        <v>1070</v>
      </c>
      <c r="K666" s="777"/>
      <c r="L666" s="782">
        <v>150000000</v>
      </c>
      <c r="M666" s="777"/>
      <c r="N666" s="782">
        <v>70200700</v>
      </c>
      <c r="O666" s="777">
        <v>8</v>
      </c>
      <c r="P666" s="782">
        <v>44589056</v>
      </c>
      <c r="Q666" s="782">
        <v>0</v>
      </c>
      <c r="R666" s="795">
        <v>0</v>
      </c>
      <c r="S666" s="789"/>
      <c r="T666" s="788"/>
      <c r="U666" s="789"/>
      <c r="V666" s="782"/>
      <c r="W666" s="790"/>
      <c r="X666" s="782"/>
      <c r="Y666" s="782">
        <v>0</v>
      </c>
      <c r="Z666" s="795">
        <v>0</v>
      </c>
      <c r="AA666" s="782">
        <f>Y666</f>
        <v>0</v>
      </c>
      <c r="AB666" s="791">
        <f t="shared" si="180"/>
        <v>70200700</v>
      </c>
      <c r="AC666" s="777"/>
      <c r="AD666" s="792">
        <f>(AB666/L666)*100</f>
        <v>46.800466666666665</v>
      </c>
      <c r="AE666" s="786"/>
    </row>
    <row r="667" spans="1:31" s="787" customFormat="1" ht="53.25" customHeight="1">
      <c r="A667" s="777"/>
      <c r="B667" s="777"/>
      <c r="C667" s="778" t="s">
        <v>146</v>
      </c>
      <c r="D667" s="778" t="s">
        <v>65</v>
      </c>
      <c r="E667" s="778" t="s">
        <v>161</v>
      </c>
      <c r="F667" s="778" t="s">
        <v>166</v>
      </c>
      <c r="G667" s="778" t="s">
        <v>360</v>
      </c>
      <c r="H667" s="1914"/>
      <c r="I667" s="780" t="s">
        <v>1071</v>
      </c>
      <c r="J667" s="781" t="s">
        <v>1072</v>
      </c>
      <c r="K667" s="777" t="str">
        <f>M667</f>
        <v>Memperingati</v>
      </c>
      <c r="L667" s="782">
        <v>200000000</v>
      </c>
      <c r="M667" s="777" t="s">
        <v>1073</v>
      </c>
      <c r="N667" s="782">
        <v>55969000</v>
      </c>
      <c r="O667" s="777">
        <v>3</v>
      </c>
      <c r="P667" s="782">
        <v>82895460</v>
      </c>
      <c r="Q667" s="794">
        <v>1</v>
      </c>
      <c r="R667" s="795">
        <v>54222000</v>
      </c>
      <c r="S667" s="789"/>
      <c r="T667" s="782"/>
      <c r="U667" s="789"/>
      <c r="V667" s="782"/>
      <c r="W667" s="790"/>
      <c r="X667" s="782"/>
      <c r="Y667" s="794">
        <v>1</v>
      </c>
      <c r="Z667" s="795">
        <v>54222000</v>
      </c>
      <c r="AA667" s="777">
        <f>Y667</f>
        <v>1</v>
      </c>
      <c r="AB667" s="791">
        <f t="shared" si="180"/>
        <v>110191000</v>
      </c>
      <c r="AC667" s="791"/>
      <c r="AD667" s="792">
        <f t="shared" si="179"/>
        <v>55.095499999999994</v>
      </c>
      <c r="AE667" s="786"/>
    </row>
    <row r="668" spans="1:31" s="787" customFormat="1" ht="60" customHeight="1">
      <c r="A668" s="777"/>
      <c r="B668" s="777"/>
      <c r="C668" s="778" t="s">
        <v>146</v>
      </c>
      <c r="D668" s="778" t="s">
        <v>65</v>
      </c>
      <c r="E668" s="778" t="s">
        <v>161</v>
      </c>
      <c r="F668" s="778" t="s">
        <v>166</v>
      </c>
      <c r="G668" s="778" t="s">
        <v>165</v>
      </c>
      <c r="H668" s="1914"/>
      <c r="I668" s="780" t="s">
        <v>1074</v>
      </c>
      <c r="J668" s="781" t="s">
        <v>1075</v>
      </c>
      <c r="K668" s="777" t="s">
        <v>1076</v>
      </c>
      <c r="L668" s="782">
        <v>200000000</v>
      </c>
      <c r="M668" s="777" t="str">
        <f>K668</f>
        <v>Persentase kualitas lingkungan</v>
      </c>
      <c r="N668" s="782">
        <v>99589200</v>
      </c>
      <c r="O668" s="777"/>
      <c r="P668" s="782"/>
      <c r="Q668" s="777"/>
      <c r="R668" s="783"/>
      <c r="S668" s="777"/>
      <c r="T668" s="782"/>
      <c r="U668" s="777"/>
      <c r="V668" s="782"/>
      <c r="W668" s="779"/>
      <c r="X668" s="782"/>
      <c r="Y668" s="777"/>
      <c r="Z668" s="783"/>
      <c r="AA668" s="777"/>
      <c r="AB668" s="791">
        <f t="shared" si="180"/>
        <v>99589200</v>
      </c>
      <c r="AC668" s="777"/>
      <c r="AD668" s="792">
        <f t="shared" si="179"/>
        <v>49.794600000000003</v>
      </c>
      <c r="AE668" s="786"/>
    </row>
    <row r="669" spans="1:31" s="787" customFormat="1" ht="54.75" customHeight="1">
      <c r="A669" s="777"/>
      <c r="B669" s="777"/>
      <c r="C669" s="778" t="s">
        <v>146</v>
      </c>
      <c r="D669" s="778" t="s">
        <v>65</v>
      </c>
      <c r="E669" s="778" t="s">
        <v>161</v>
      </c>
      <c r="F669" s="778" t="s">
        <v>166</v>
      </c>
      <c r="G669" s="778" t="s">
        <v>178</v>
      </c>
      <c r="H669" s="1914"/>
      <c r="I669" s="780" t="s">
        <v>1077</v>
      </c>
      <c r="J669" s="781" t="s">
        <v>1078</v>
      </c>
      <c r="K669" s="777" t="s">
        <v>1079</v>
      </c>
      <c r="L669" s="782">
        <v>1500000000</v>
      </c>
      <c r="M669" s="777" t="str">
        <f>K669</f>
        <v>Kelancaran labor</v>
      </c>
      <c r="N669" s="782">
        <v>233336900</v>
      </c>
      <c r="O669" s="777">
        <v>12</v>
      </c>
      <c r="P669" s="782">
        <v>113861356</v>
      </c>
      <c r="Q669" s="794">
        <v>3</v>
      </c>
      <c r="R669" s="783">
        <v>7233958</v>
      </c>
      <c r="S669" s="789"/>
      <c r="T669" s="791"/>
      <c r="U669" s="789"/>
      <c r="V669" s="791"/>
      <c r="W669" s="790"/>
      <c r="X669" s="791"/>
      <c r="Y669" s="794">
        <v>3</v>
      </c>
      <c r="Z669" s="783">
        <v>7233958</v>
      </c>
      <c r="AA669" s="777">
        <f>Y669</f>
        <v>3</v>
      </c>
      <c r="AB669" s="791">
        <f t="shared" si="180"/>
        <v>240570858</v>
      </c>
      <c r="AC669" s="791"/>
      <c r="AD669" s="792">
        <f t="shared" si="179"/>
        <v>16.038057200000001</v>
      </c>
      <c r="AE669" s="786"/>
    </row>
    <row r="670" spans="1:31" s="787" customFormat="1" ht="57" customHeight="1">
      <c r="A670" s="777"/>
      <c r="B670" s="777"/>
      <c r="C670" s="778" t="s">
        <v>146</v>
      </c>
      <c r="D670" s="778" t="s">
        <v>65</v>
      </c>
      <c r="E670" s="778" t="s">
        <v>161</v>
      </c>
      <c r="F670" s="778" t="s">
        <v>166</v>
      </c>
      <c r="G670" s="778" t="s">
        <v>399</v>
      </c>
      <c r="H670" s="1914"/>
      <c r="I670" s="780" t="s">
        <v>1080</v>
      </c>
      <c r="J670" s="781" t="s">
        <v>1081</v>
      </c>
      <c r="K670" s="777" t="s">
        <v>1082</v>
      </c>
      <c r="L670" s="782">
        <v>200000000</v>
      </c>
      <c r="M670" s="777" t="str">
        <f>K670</f>
        <v>Kecamatan Bersih,Teduh dan Hijau</v>
      </c>
      <c r="N670" s="782">
        <v>150206452</v>
      </c>
      <c r="O670" s="777">
        <v>1</v>
      </c>
      <c r="P670" s="782">
        <v>71473592</v>
      </c>
      <c r="Q670" s="794">
        <v>0</v>
      </c>
      <c r="R670" s="783">
        <v>17555046</v>
      </c>
      <c r="S670" s="789"/>
      <c r="T670" s="791"/>
      <c r="U670" s="789"/>
      <c r="V670" s="791"/>
      <c r="W670" s="790"/>
      <c r="X670" s="791"/>
      <c r="Y670" s="794">
        <v>0</v>
      </c>
      <c r="Z670" s="783">
        <v>17555046</v>
      </c>
      <c r="AA670" s="777">
        <f>Y670</f>
        <v>0</v>
      </c>
      <c r="AB670" s="791">
        <f t="shared" si="180"/>
        <v>167761498</v>
      </c>
      <c r="AC670" s="791"/>
      <c r="AD670" s="792">
        <f t="shared" si="179"/>
        <v>83.880748999999994</v>
      </c>
      <c r="AE670" s="786"/>
    </row>
    <row r="671" spans="1:31" s="787" customFormat="1" ht="42" customHeight="1">
      <c r="A671" s="777"/>
      <c r="B671" s="777"/>
      <c r="C671" s="778" t="s">
        <v>146</v>
      </c>
      <c r="D671" s="778" t="s">
        <v>65</v>
      </c>
      <c r="E671" s="778" t="s">
        <v>161</v>
      </c>
      <c r="F671" s="778" t="s">
        <v>166</v>
      </c>
      <c r="G671" s="778" t="s">
        <v>181</v>
      </c>
      <c r="H671" s="1914"/>
      <c r="I671" s="780" t="s">
        <v>1083</v>
      </c>
      <c r="J671" s="781" t="s">
        <v>1084</v>
      </c>
      <c r="K671" s="777" t="s">
        <v>1085</v>
      </c>
      <c r="L671" s="782">
        <v>180000000</v>
      </c>
      <c r="M671" s="777" t="s">
        <v>1086</v>
      </c>
      <c r="N671" s="782">
        <v>34260250</v>
      </c>
      <c r="O671" s="777"/>
      <c r="P671" s="813"/>
      <c r="Q671" s="813"/>
      <c r="R671" s="813"/>
      <c r="S671" s="777"/>
      <c r="T671" s="782"/>
      <c r="U671" s="777"/>
      <c r="V671" s="782"/>
      <c r="W671" s="779"/>
      <c r="X671" s="782"/>
      <c r="Y671" s="813"/>
      <c r="Z671" s="813"/>
      <c r="AA671" s="777"/>
      <c r="AB671" s="791">
        <f t="shared" si="180"/>
        <v>34260250</v>
      </c>
      <c r="AC671" s="777"/>
      <c r="AD671" s="792">
        <f t="shared" si="179"/>
        <v>19.033472222222223</v>
      </c>
      <c r="AE671" s="786"/>
    </row>
    <row r="672" spans="1:31" s="787" customFormat="1" ht="36" customHeight="1">
      <c r="A672" s="777"/>
      <c r="B672" s="777"/>
      <c r="C672" s="778" t="s">
        <v>146</v>
      </c>
      <c r="D672" s="778" t="s">
        <v>65</v>
      </c>
      <c r="E672" s="778" t="s">
        <v>161</v>
      </c>
      <c r="F672" s="778" t="s">
        <v>166</v>
      </c>
      <c r="G672" s="778" t="s">
        <v>1087</v>
      </c>
      <c r="H672" s="1914"/>
      <c r="I672" s="780" t="s">
        <v>1088</v>
      </c>
      <c r="J672" s="781"/>
      <c r="K672" s="777"/>
      <c r="L672" s="782"/>
      <c r="M672" s="777"/>
      <c r="N672" s="782"/>
      <c r="O672" s="777"/>
      <c r="P672" s="782"/>
      <c r="Q672" s="777"/>
      <c r="R672" s="783"/>
      <c r="S672" s="777"/>
      <c r="T672" s="789"/>
      <c r="U672" s="791"/>
      <c r="V672" s="791"/>
      <c r="W672" s="779"/>
      <c r="X672" s="798"/>
      <c r="Y672" s="777"/>
      <c r="Z672" s="783"/>
      <c r="AA672" s="777"/>
      <c r="AB672" s="791"/>
      <c r="AC672" s="777"/>
      <c r="AD672" s="792"/>
      <c r="AE672" s="786"/>
    </row>
    <row r="673" spans="1:31" s="787" customFormat="1" ht="48" customHeight="1">
      <c r="A673" s="777"/>
      <c r="B673" s="777"/>
      <c r="C673" s="778" t="s">
        <v>146</v>
      </c>
      <c r="D673" s="778" t="s">
        <v>65</v>
      </c>
      <c r="E673" s="778" t="s">
        <v>161</v>
      </c>
      <c r="F673" s="778" t="s">
        <v>166</v>
      </c>
      <c r="G673" s="778" t="s">
        <v>1089</v>
      </c>
      <c r="H673" s="1914"/>
      <c r="I673" s="780" t="s">
        <v>1090</v>
      </c>
      <c r="J673" s="781"/>
      <c r="K673" s="777"/>
      <c r="L673" s="782"/>
      <c r="M673" s="777"/>
      <c r="N673" s="782"/>
      <c r="O673" s="777"/>
      <c r="P673" s="782"/>
      <c r="Q673" s="777"/>
      <c r="R673" s="783"/>
      <c r="S673" s="777"/>
      <c r="T673" s="791"/>
      <c r="U673" s="791"/>
      <c r="V673" s="789"/>
      <c r="W673" s="790"/>
      <c r="X673" s="782"/>
      <c r="Y673" s="777"/>
      <c r="Z673" s="783"/>
      <c r="AA673" s="777"/>
      <c r="AB673" s="791"/>
      <c r="AC673" s="777"/>
      <c r="AD673" s="792"/>
      <c r="AE673" s="786"/>
    </row>
    <row r="674" spans="1:31" s="787" customFormat="1" ht="51.75" customHeight="1">
      <c r="A674" s="777"/>
      <c r="B674" s="777"/>
      <c r="C674" s="778" t="s">
        <v>146</v>
      </c>
      <c r="D674" s="778" t="s">
        <v>65</v>
      </c>
      <c r="E674" s="778" t="s">
        <v>161</v>
      </c>
      <c r="F674" s="778" t="s">
        <v>166</v>
      </c>
      <c r="G674" s="778" t="s">
        <v>68</v>
      </c>
      <c r="H674" s="1914"/>
      <c r="I674" s="780" t="s">
        <v>1091</v>
      </c>
      <c r="J674" s="781"/>
      <c r="K674" s="777"/>
      <c r="L674" s="782"/>
      <c r="M674" s="777"/>
      <c r="N674" s="782"/>
      <c r="O674" s="777"/>
      <c r="P674" s="782"/>
      <c r="Q674" s="777"/>
      <c r="R674" s="783"/>
      <c r="S674" s="777"/>
      <c r="T674" s="782"/>
      <c r="U674" s="777"/>
      <c r="V674" s="782"/>
      <c r="W674" s="779"/>
      <c r="X674" s="797"/>
      <c r="Y674" s="777"/>
      <c r="Z674" s="783"/>
      <c r="AA674" s="777"/>
      <c r="AB674" s="791"/>
      <c r="AC674" s="777"/>
      <c r="AD674" s="792"/>
      <c r="AE674" s="786"/>
    </row>
    <row r="675" spans="1:31" s="787" customFormat="1" ht="68.25" customHeight="1">
      <c r="A675" s="777"/>
      <c r="B675" s="777"/>
      <c r="C675" s="778" t="s">
        <v>146</v>
      </c>
      <c r="D675" s="778" t="s">
        <v>65</v>
      </c>
      <c r="E675" s="778" t="s">
        <v>161</v>
      </c>
      <c r="F675" s="778" t="s">
        <v>166</v>
      </c>
      <c r="G675" s="778" t="s">
        <v>476</v>
      </c>
      <c r="H675" s="1914"/>
      <c r="I675" s="780" t="s">
        <v>1092</v>
      </c>
      <c r="J675" s="781"/>
      <c r="K675" s="777"/>
      <c r="L675" s="782">
        <v>150000000</v>
      </c>
      <c r="M675" s="777"/>
      <c r="N675" s="782">
        <v>98538000</v>
      </c>
      <c r="O675" s="777"/>
      <c r="P675" s="782"/>
      <c r="Q675" s="789"/>
      <c r="R675" s="783"/>
      <c r="S675" s="789"/>
      <c r="T675" s="782"/>
      <c r="U675" s="789"/>
      <c r="V675" s="782"/>
      <c r="W675" s="790"/>
      <c r="X675" s="782"/>
      <c r="Y675" s="789"/>
      <c r="Z675" s="783"/>
      <c r="AA675" s="777"/>
      <c r="AB675" s="791">
        <f t="shared" si="180"/>
        <v>98538000</v>
      </c>
      <c r="AC675" s="777"/>
      <c r="AD675" s="792">
        <f t="shared" si="179"/>
        <v>65.691999999999993</v>
      </c>
      <c r="AE675" s="786"/>
    </row>
    <row r="676" spans="1:31" s="787" customFormat="1" ht="31.5" customHeight="1">
      <c r="A676" s="777"/>
      <c r="B676" s="777"/>
      <c r="C676" s="778" t="s">
        <v>146</v>
      </c>
      <c r="D676" s="778" t="s">
        <v>65</v>
      </c>
      <c r="E676" s="778" t="s">
        <v>161</v>
      </c>
      <c r="F676" s="778" t="s">
        <v>166</v>
      </c>
      <c r="G676" s="778" t="s">
        <v>1093</v>
      </c>
      <c r="H676" s="1914"/>
      <c r="I676" s="780" t="s">
        <v>1094</v>
      </c>
      <c r="J676" s="781"/>
      <c r="K676" s="777"/>
      <c r="L676" s="782"/>
      <c r="M676" s="777"/>
      <c r="N676" s="782"/>
      <c r="O676" s="777"/>
      <c r="P676" s="782"/>
      <c r="Q676" s="777"/>
      <c r="R676" s="783"/>
      <c r="S676" s="777"/>
      <c r="T676" s="782"/>
      <c r="U676" s="777"/>
      <c r="V676" s="782"/>
      <c r="W676" s="779"/>
      <c r="X676" s="782"/>
      <c r="Y676" s="777"/>
      <c r="Z676" s="783"/>
      <c r="AA676" s="777"/>
      <c r="AB676" s="791"/>
      <c r="AC676" s="777"/>
      <c r="AD676" s="792"/>
      <c r="AE676" s="786"/>
    </row>
    <row r="677" spans="1:31" s="787" customFormat="1" ht="54.75" customHeight="1">
      <c r="A677" s="777"/>
      <c r="B677" s="777"/>
      <c r="C677" s="778" t="s">
        <v>146</v>
      </c>
      <c r="D677" s="778" t="s">
        <v>65</v>
      </c>
      <c r="E677" s="778" t="s">
        <v>161</v>
      </c>
      <c r="F677" s="778" t="s">
        <v>166</v>
      </c>
      <c r="G677" s="778" t="s">
        <v>1095</v>
      </c>
      <c r="H677" s="1914"/>
      <c r="I677" s="780" t="s">
        <v>1096</v>
      </c>
      <c r="J677" s="781"/>
      <c r="K677" s="777"/>
      <c r="L677" s="782"/>
      <c r="M677" s="777"/>
      <c r="N677" s="782"/>
      <c r="O677" s="777"/>
      <c r="P677" s="782"/>
      <c r="Q677" s="777"/>
      <c r="R677" s="783"/>
      <c r="S677" s="777"/>
      <c r="T677" s="782"/>
      <c r="U677" s="777"/>
      <c r="V677" s="798"/>
      <c r="W677" s="779"/>
      <c r="X677" s="782"/>
      <c r="Y677" s="777"/>
      <c r="Z677" s="783"/>
      <c r="AA677" s="777"/>
      <c r="AB677" s="791"/>
      <c r="AC677" s="777"/>
      <c r="AD677" s="792"/>
      <c r="AE677" s="786"/>
    </row>
    <row r="678" spans="1:31" s="787" customFormat="1" ht="41.25" customHeight="1">
      <c r="A678" s="777"/>
      <c r="B678" s="777"/>
      <c r="C678" s="778" t="s">
        <v>146</v>
      </c>
      <c r="D678" s="778" t="s">
        <v>65</v>
      </c>
      <c r="E678" s="778" t="s">
        <v>161</v>
      </c>
      <c r="F678" s="778" t="s">
        <v>166</v>
      </c>
      <c r="G678" s="778" t="s">
        <v>1097</v>
      </c>
      <c r="H678" s="1914"/>
      <c r="I678" s="780" t="s">
        <v>1098</v>
      </c>
      <c r="J678" s="781"/>
      <c r="K678" s="777"/>
      <c r="L678" s="782"/>
      <c r="M678" s="777"/>
      <c r="N678" s="782"/>
      <c r="O678" s="777"/>
      <c r="P678" s="782"/>
      <c r="Q678" s="777"/>
      <c r="R678" s="783"/>
      <c r="S678" s="777"/>
      <c r="T678" s="782"/>
      <c r="U678" s="777"/>
      <c r="V678" s="782"/>
      <c r="W678" s="779"/>
      <c r="X678" s="782"/>
      <c r="Y678" s="777"/>
      <c r="Z678" s="783"/>
      <c r="AA678" s="777"/>
      <c r="AB678" s="791"/>
      <c r="AC678" s="777"/>
      <c r="AD678" s="792"/>
      <c r="AE678" s="786"/>
    </row>
    <row r="679" spans="1:31" s="787" customFormat="1" ht="27" customHeight="1">
      <c r="A679" s="777"/>
      <c r="B679" s="777"/>
      <c r="C679" s="778" t="s">
        <v>146</v>
      </c>
      <c r="D679" s="778" t="s">
        <v>65</v>
      </c>
      <c r="E679" s="778" t="s">
        <v>161</v>
      </c>
      <c r="F679" s="778" t="s">
        <v>166</v>
      </c>
      <c r="G679" s="778" t="s">
        <v>1099</v>
      </c>
      <c r="H679" s="1914"/>
      <c r="I679" s="780" t="s">
        <v>1100</v>
      </c>
      <c r="J679" s="781"/>
      <c r="K679" s="777"/>
      <c r="L679" s="782"/>
      <c r="M679" s="777"/>
      <c r="N679" s="782"/>
      <c r="O679" s="777"/>
      <c r="P679" s="782"/>
      <c r="Q679" s="777"/>
      <c r="R679" s="783"/>
      <c r="S679" s="777"/>
      <c r="T679" s="782"/>
      <c r="U679" s="777"/>
      <c r="V679" s="782"/>
      <c r="W679" s="779"/>
      <c r="X679" s="782"/>
      <c r="Y679" s="777"/>
      <c r="Z679" s="783"/>
      <c r="AA679" s="777"/>
      <c r="AB679" s="791"/>
      <c r="AC679" s="777"/>
      <c r="AD679" s="792"/>
      <c r="AE679" s="786"/>
    </row>
    <row r="680" spans="1:31" s="787" customFormat="1" ht="38.25" customHeight="1">
      <c r="A680" s="777"/>
      <c r="B680" s="777"/>
      <c r="C680" s="778"/>
      <c r="D680" s="778"/>
      <c r="E680" s="778"/>
      <c r="F680" s="778"/>
      <c r="G680" s="778"/>
      <c r="H680" s="1914"/>
      <c r="I680" s="780" t="s">
        <v>1101</v>
      </c>
      <c r="J680" s="781" t="s">
        <v>1102</v>
      </c>
      <c r="K680" s="777"/>
      <c r="L680" s="782"/>
      <c r="M680" s="777"/>
      <c r="N680" s="782"/>
      <c r="O680" s="777"/>
      <c r="P680" s="782">
        <v>71647700</v>
      </c>
      <c r="Q680" s="792"/>
      <c r="R680" s="783">
        <v>24619372</v>
      </c>
      <c r="S680" s="777"/>
      <c r="T680" s="782"/>
      <c r="U680" s="777"/>
      <c r="V680" s="782"/>
      <c r="W680" s="779"/>
      <c r="X680" s="782"/>
      <c r="Y680" s="792"/>
      <c r="Z680" s="783">
        <v>24619372</v>
      </c>
      <c r="AA680" s="777"/>
      <c r="AB680" s="791"/>
      <c r="AC680" s="777"/>
      <c r="AD680" s="792"/>
      <c r="AE680" s="817"/>
    </row>
    <row r="681" spans="1:31" s="787" customFormat="1" ht="28.5" customHeight="1">
      <c r="A681" s="777"/>
      <c r="B681" s="777"/>
      <c r="C681" s="778"/>
      <c r="D681" s="778"/>
      <c r="E681" s="778"/>
      <c r="F681" s="778"/>
      <c r="G681" s="778"/>
      <c r="H681" s="1914"/>
      <c r="I681" s="780"/>
      <c r="J681" s="781" t="s">
        <v>1103</v>
      </c>
      <c r="K681" s="777"/>
      <c r="L681" s="782"/>
      <c r="M681" s="777"/>
      <c r="N681" s="782"/>
      <c r="O681" s="777">
        <v>4</v>
      </c>
      <c r="P681" s="782"/>
      <c r="Q681" s="777">
        <v>2</v>
      </c>
      <c r="R681" s="783"/>
      <c r="S681" s="777"/>
      <c r="T681" s="782"/>
      <c r="U681" s="777"/>
      <c r="V681" s="782"/>
      <c r="W681" s="779"/>
      <c r="X681" s="782"/>
      <c r="Y681" s="777">
        <v>2</v>
      </c>
      <c r="Z681" s="783"/>
      <c r="AA681" s="777"/>
      <c r="AB681" s="791"/>
      <c r="AC681" s="777"/>
      <c r="AD681" s="792"/>
      <c r="AE681" s="817"/>
    </row>
    <row r="682" spans="1:31" s="787" customFormat="1" ht="25.5" customHeight="1">
      <c r="A682" s="777"/>
      <c r="B682" s="777"/>
      <c r="C682" s="778"/>
      <c r="D682" s="778"/>
      <c r="E682" s="778"/>
      <c r="F682" s="778"/>
      <c r="G682" s="778"/>
      <c r="H682" s="1914"/>
      <c r="I682" s="780"/>
      <c r="J682" s="781" t="s">
        <v>1104</v>
      </c>
      <c r="K682" s="777"/>
      <c r="L682" s="782"/>
      <c r="M682" s="777"/>
      <c r="N682" s="782"/>
      <c r="O682" s="777">
        <v>2</v>
      </c>
      <c r="P682" s="782"/>
      <c r="Q682" s="777">
        <v>2</v>
      </c>
      <c r="R682" s="783"/>
      <c r="S682" s="777"/>
      <c r="T682" s="782"/>
      <c r="U682" s="777"/>
      <c r="V682" s="782"/>
      <c r="W682" s="779"/>
      <c r="X682" s="782"/>
      <c r="Y682" s="777">
        <v>2</v>
      </c>
      <c r="Z682" s="783"/>
      <c r="AA682" s="777"/>
      <c r="AB682" s="791"/>
      <c r="AC682" s="777"/>
      <c r="AD682" s="792"/>
      <c r="AE682" s="817"/>
    </row>
    <row r="683" spans="1:31" s="787" customFormat="1" ht="39.75" customHeight="1">
      <c r="A683" s="777"/>
      <c r="B683" s="777"/>
      <c r="C683" s="778"/>
      <c r="D683" s="778"/>
      <c r="E683" s="778"/>
      <c r="F683" s="778"/>
      <c r="G683" s="778"/>
      <c r="H683" s="1914"/>
      <c r="I683" s="780" t="s">
        <v>1105</v>
      </c>
      <c r="J683" s="781" t="s">
        <v>1106</v>
      </c>
      <c r="K683" s="777"/>
      <c r="L683" s="782"/>
      <c r="M683" s="777"/>
      <c r="N683" s="782"/>
      <c r="O683" s="777"/>
      <c r="P683" s="782">
        <v>184885576</v>
      </c>
      <c r="Q683" s="792"/>
      <c r="R683" s="783">
        <v>12363556</v>
      </c>
      <c r="S683" s="777"/>
      <c r="T683" s="782"/>
      <c r="U683" s="777"/>
      <c r="V683" s="782"/>
      <c r="W683" s="779"/>
      <c r="X683" s="782"/>
      <c r="Y683" s="792"/>
      <c r="Z683" s="783">
        <v>12363556</v>
      </c>
      <c r="AA683" s="777"/>
      <c r="AB683" s="791"/>
      <c r="AC683" s="777"/>
      <c r="AD683" s="792"/>
      <c r="AE683" s="817"/>
    </row>
    <row r="684" spans="1:31" s="787" customFormat="1" ht="21.75" customHeight="1">
      <c r="A684" s="777"/>
      <c r="B684" s="777"/>
      <c r="C684" s="778"/>
      <c r="D684" s="778"/>
      <c r="E684" s="778"/>
      <c r="F684" s="778"/>
      <c r="G684" s="778"/>
      <c r="H684" s="1914"/>
      <c r="I684" s="818"/>
      <c r="J684" s="781" t="s">
        <v>1107</v>
      </c>
      <c r="K684" s="777"/>
      <c r="L684" s="782"/>
      <c r="M684" s="777"/>
      <c r="N684" s="782"/>
      <c r="O684" s="777">
        <v>1</v>
      </c>
      <c r="P684" s="782"/>
      <c r="Q684" s="777"/>
      <c r="R684" s="783"/>
      <c r="S684" s="777"/>
      <c r="T684" s="782"/>
      <c r="U684" s="777"/>
      <c r="V684" s="782"/>
      <c r="W684" s="779"/>
      <c r="X684" s="782"/>
      <c r="Y684" s="777"/>
      <c r="Z684" s="783"/>
      <c r="AA684" s="777"/>
      <c r="AB684" s="791"/>
      <c r="AC684" s="777"/>
      <c r="AD684" s="792"/>
      <c r="AE684" s="817"/>
    </row>
    <row r="685" spans="1:31" s="787" customFormat="1" ht="21.75" customHeight="1">
      <c r="A685" s="777"/>
      <c r="B685" s="777"/>
      <c r="C685" s="778"/>
      <c r="D685" s="778"/>
      <c r="E685" s="778"/>
      <c r="F685" s="778"/>
      <c r="G685" s="778"/>
      <c r="H685" s="1914"/>
      <c r="I685" s="818"/>
      <c r="J685" s="781" t="s">
        <v>1108</v>
      </c>
      <c r="K685" s="777"/>
      <c r="L685" s="782"/>
      <c r="M685" s="777"/>
      <c r="N685" s="782"/>
      <c r="O685" s="777">
        <v>1</v>
      </c>
      <c r="P685" s="782"/>
      <c r="Q685" s="777"/>
      <c r="R685" s="783"/>
      <c r="S685" s="777"/>
      <c r="T685" s="782"/>
      <c r="U685" s="777"/>
      <c r="V685" s="782"/>
      <c r="W685" s="779"/>
      <c r="X685" s="782"/>
      <c r="Y685" s="777"/>
      <c r="Z685" s="783"/>
      <c r="AA685" s="777"/>
      <c r="AB685" s="791"/>
      <c r="AC685" s="777"/>
      <c r="AD685" s="792"/>
      <c r="AE685" s="817"/>
    </row>
    <row r="686" spans="1:31" s="787" customFormat="1" ht="21.75" customHeight="1">
      <c r="A686" s="777"/>
      <c r="B686" s="777"/>
      <c r="C686" s="778"/>
      <c r="D686" s="778"/>
      <c r="E686" s="778"/>
      <c r="F686" s="778"/>
      <c r="G686" s="778"/>
      <c r="H686" s="1914"/>
      <c r="I686" s="818"/>
      <c r="J686" s="781" t="s">
        <v>1109</v>
      </c>
      <c r="K686" s="777"/>
      <c r="L686" s="782"/>
      <c r="M686" s="777"/>
      <c r="N686" s="782"/>
      <c r="O686" s="777">
        <v>3</v>
      </c>
      <c r="P686" s="782"/>
      <c r="Q686" s="777"/>
      <c r="R686" s="783"/>
      <c r="S686" s="777"/>
      <c r="T686" s="782"/>
      <c r="U686" s="777"/>
      <c r="V686" s="782"/>
      <c r="W686" s="779"/>
      <c r="X686" s="782"/>
      <c r="Y686" s="777"/>
      <c r="Z686" s="783"/>
      <c r="AA686" s="777"/>
      <c r="AB686" s="791"/>
      <c r="AC686" s="777"/>
      <c r="AD686" s="792"/>
      <c r="AE686" s="817"/>
    </row>
    <row r="687" spans="1:31" s="787" customFormat="1" ht="21.75" customHeight="1">
      <c r="A687" s="777"/>
      <c r="B687" s="777"/>
      <c r="C687" s="778"/>
      <c r="D687" s="778"/>
      <c r="E687" s="778"/>
      <c r="F687" s="778"/>
      <c r="G687" s="778"/>
      <c r="H687" s="1914"/>
      <c r="I687" s="818"/>
      <c r="J687" s="781" t="s">
        <v>1110</v>
      </c>
      <c r="K687" s="777"/>
      <c r="L687" s="782"/>
      <c r="M687" s="777"/>
      <c r="N687" s="782"/>
      <c r="O687" s="777">
        <v>20</v>
      </c>
      <c r="P687" s="782"/>
      <c r="Q687" s="777"/>
      <c r="R687" s="783"/>
      <c r="S687" s="777"/>
      <c r="T687" s="782"/>
      <c r="U687" s="777"/>
      <c r="V687" s="782"/>
      <c r="W687" s="779"/>
      <c r="X687" s="782"/>
      <c r="Y687" s="777"/>
      <c r="Z687" s="783"/>
      <c r="AA687" s="777"/>
      <c r="AB687" s="791"/>
      <c r="AC687" s="777"/>
      <c r="AD687" s="792"/>
      <c r="AE687" s="817"/>
    </row>
    <row r="688" spans="1:31" s="776" customFormat="1" ht="57" customHeight="1">
      <c r="A688" s="819">
        <v>3</v>
      </c>
      <c r="B688" s="800" t="s">
        <v>1053</v>
      </c>
      <c r="C688" s="820" t="s">
        <v>146</v>
      </c>
      <c r="D688" s="820" t="s">
        <v>65</v>
      </c>
      <c r="E688" s="820" t="s">
        <v>161</v>
      </c>
      <c r="F688" s="820" t="s">
        <v>357</v>
      </c>
      <c r="G688" s="821"/>
      <c r="H688" s="822"/>
      <c r="I688" s="823" t="s">
        <v>1111</v>
      </c>
      <c r="J688" s="824" t="s">
        <v>1112</v>
      </c>
      <c r="K688" s="825">
        <v>0.5</v>
      </c>
      <c r="L688" s="826">
        <f>SUM(L689:L712)</f>
        <v>3745000000</v>
      </c>
      <c r="M688" s="827">
        <v>0.25</v>
      </c>
      <c r="N688" s="826">
        <v>1318608040</v>
      </c>
      <c r="O688" s="827">
        <v>0.3</v>
      </c>
      <c r="P688" s="826">
        <f>P689+P691+P695+P701+P702+P711</f>
        <v>973554382</v>
      </c>
      <c r="Q688" s="828">
        <f>R688/P688</f>
        <v>6.9417050808364605E-2</v>
      </c>
      <c r="R688" s="826">
        <f>R689+R691+R695+R701+R702+R711</f>
        <v>67581274</v>
      </c>
      <c r="S688" s="819"/>
      <c r="T688" s="826"/>
      <c r="U688" s="819"/>
      <c r="V688" s="826"/>
      <c r="W688" s="821"/>
      <c r="X688" s="826"/>
      <c r="Y688" s="828">
        <f>+Z688/P688</f>
        <v>6.9417050808364605E-2</v>
      </c>
      <c r="Z688" s="826">
        <f>Z689+Z691+Z695+Z701+Z702+Z711</f>
        <v>67581274</v>
      </c>
      <c r="AA688" s="819"/>
      <c r="AB688" s="829">
        <f t="shared" si="180"/>
        <v>1386189314</v>
      </c>
      <c r="AC688" s="819"/>
      <c r="AD688" s="830">
        <f t="shared" si="179"/>
        <v>37.014400907877167</v>
      </c>
      <c r="AE688" s="774" t="s">
        <v>1056</v>
      </c>
    </row>
    <row r="689" spans="1:31" s="787" customFormat="1" ht="56.25" customHeight="1">
      <c r="A689" s="777"/>
      <c r="B689" s="777"/>
      <c r="C689" s="778" t="s">
        <v>146</v>
      </c>
      <c r="D689" s="778" t="s">
        <v>65</v>
      </c>
      <c r="E689" s="778" t="s">
        <v>161</v>
      </c>
      <c r="F689" s="778" t="s">
        <v>357</v>
      </c>
      <c r="G689" s="778" t="s">
        <v>198</v>
      </c>
      <c r="H689" s="1914"/>
      <c r="I689" s="780" t="s">
        <v>1113</v>
      </c>
      <c r="J689" s="781" t="s">
        <v>1114</v>
      </c>
      <c r="K689" s="777">
        <v>40</v>
      </c>
      <c r="L689" s="782">
        <v>300000000</v>
      </c>
      <c r="M689" s="777">
        <v>20</v>
      </c>
      <c r="N689" s="782">
        <v>240811791</v>
      </c>
      <c r="O689" s="777">
        <f>M689</f>
        <v>20</v>
      </c>
      <c r="P689" s="782">
        <v>112597526</v>
      </c>
      <c r="Q689" s="831">
        <v>0</v>
      </c>
      <c r="R689" s="783">
        <v>4011400</v>
      </c>
      <c r="S689" s="789"/>
      <c r="T689" s="782"/>
      <c r="U689" s="789"/>
      <c r="V689" s="777"/>
      <c r="W689" s="790"/>
      <c r="X689" s="782"/>
      <c r="Y689" s="831">
        <v>0</v>
      </c>
      <c r="Z689" s="783">
        <v>4011400</v>
      </c>
      <c r="AA689" s="791">
        <f>Y689</f>
        <v>0</v>
      </c>
      <c r="AB689" s="791">
        <f>Z689+N689</f>
        <v>244823191</v>
      </c>
      <c r="AC689" s="791"/>
      <c r="AD689" s="792">
        <f>(AB689/L689)*100</f>
        <v>81.607730333333322</v>
      </c>
      <c r="AE689" s="786"/>
    </row>
    <row r="690" spans="1:31" s="787" customFormat="1" ht="72.75" customHeight="1">
      <c r="A690" s="777"/>
      <c r="B690" s="777"/>
      <c r="C690" s="778" t="s">
        <v>146</v>
      </c>
      <c r="D690" s="778" t="s">
        <v>65</v>
      </c>
      <c r="E690" s="778" t="s">
        <v>161</v>
      </c>
      <c r="F690" s="778" t="s">
        <v>357</v>
      </c>
      <c r="G690" s="778" t="s">
        <v>93</v>
      </c>
      <c r="H690" s="1914"/>
      <c r="I690" s="780" t="s">
        <v>1115</v>
      </c>
      <c r="J690" s="781"/>
      <c r="K690" s="777"/>
      <c r="L690" s="782"/>
      <c r="M690" s="777"/>
      <c r="N690" s="782">
        <v>0</v>
      </c>
      <c r="O690" s="777"/>
      <c r="P690" s="782"/>
      <c r="Q690" s="777"/>
      <c r="R690" s="783"/>
      <c r="S690" s="777"/>
      <c r="T690" s="813"/>
      <c r="U690" s="813"/>
      <c r="V690" s="812"/>
      <c r="W690" s="779"/>
      <c r="X690" s="782"/>
      <c r="Y690" s="777"/>
      <c r="Z690" s="783"/>
      <c r="AA690" s="777"/>
      <c r="AB690" s="791">
        <f t="shared" si="180"/>
        <v>0</v>
      </c>
      <c r="AC690" s="777"/>
      <c r="AD690" s="792"/>
      <c r="AE690" s="786"/>
    </row>
    <row r="691" spans="1:31" s="787" customFormat="1" ht="49.5" customHeight="1">
      <c r="A691" s="777"/>
      <c r="B691" s="777"/>
      <c r="C691" s="778" t="s">
        <v>146</v>
      </c>
      <c r="D691" s="778" t="s">
        <v>65</v>
      </c>
      <c r="E691" s="778" t="s">
        <v>161</v>
      </c>
      <c r="F691" s="778" t="s">
        <v>357</v>
      </c>
      <c r="G691" s="778" t="s">
        <v>396</v>
      </c>
      <c r="H691" s="1914"/>
      <c r="I691" s="780" t="s">
        <v>1116</v>
      </c>
      <c r="J691" s="781" t="s">
        <v>1117</v>
      </c>
      <c r="K691" s="777"/>
      <c r="L691" s="782">
        <v>2000000000</v>
      </c>
      <c r="M691" s="777"/>
      <c r="N691" s="782">
        <v>209331150</v>
      </c>
      <c r="O691" s="777"/>
      <c r="P691" s="782">
        <v>106853436</v>
      </c>
      <c r="Q691" s="831"/>
      <c r="R691" s="783">
        <v>16138174</v>
      </c>
      <c r="S691" s="789"/>
      <c r="T691" s="813"/>
      <c r="U691" s="789"/>
      <c r="V691" s="813"/>
      <c r="W691" s="790"/>
      <c r="X691" s="813"/>
      <c r="Y691" s="831"/>
      <c r="Z691" s="783">
        <v>16138174</v>
      </c>
      <c r="AA691" s="791">
        <f>Y691</f>
        <v>0</v>
      </c>
      <c r="AB691" s="791">
        <f t="shared" si="180"/>
        <v>225469324</v>
      </c>
      <c r="AC691" s="791"/>
      <c r="AD691" s="792">
        <f t="shared" si="179"/>
        <v>11.2734662</v>
      </c>
      <c r="AE691" s="786"/>
    </row>
    <row r="692" spans="1:31" s="787" customFormat="1" ht="25.5" customHeight="1">
      <c r="A692" s="777"/>
      <c r="B692" s="777"/>
      <c r="C692" s="778"/>
      <c r="D692" s="778"/>
      <c r="E692" s="778"/>
      <c r="F692" s="778"/>
      <c r="G692" s="778"/>
      <c r="H692" s="1914"/>
      <c r="I692" s="780"/>
      <c r="J692" s="781" t="s">
        <v>1118</v>
      </c>
      <c r="K692" s="777"/>
      <c r="L692" s="782"/>
      <c r="M692" s="777"/>
      <c r="N692" s="782"/>
      <c r="O692" s="777">
        <v>10</v>
      </c>
      <c r="P692" s="782"/>
      <c r="Q692" s="782">
        <v>7</v>
      </c>
      <c r="R692" s="783"/>
      <c r="S692" s="789"/>
      <c r="T692" s="813"/>
      <c r="U692" s="789"/>
      <c r="V692" s="813"/>
      <c r="W692" s="790"/>
      <c r="X692" s="813"/>
      <c r="Y692" s="782">
        <v>7</v>
      </c>
      <c r="Z692" s="783"/>
      <c r="AA692" s="791"/>
      <c r="AB692" s="791"/>
      <c r="AC692" s="791"/>
      <c r="AD692" s="792"/>
      <c r="AE692" s="786"/>
    </row>
    <row r="693" spans="1:31" s="787" customFormat="1" ht="21" customHeight="1">
      <c r="A693" s="777"/>
      <c r="B693" s="777"/>
      <c r="C693" s="778"/>
      <c r="D693" s="778"/>
      <c r="E693" s="778"/>
      <c r="F693" s="778"/>
      <c r="G693" s="778"/>
      <c r="H693" s="1914"/>
      <c r="I693" s="780"/>
      <c r="J693" s="781" t="s">
        <v>1119</v>
      </c>
      <c r="K693" s="777"/>
      <c r="L693" s="782"/>
      <c r="M693" s="777"/>
      <c r="N693" s="782"/>
      <c r="O693" s="777">
        <v>20</v>
      </c>
      <c r="P693" s="782"/>
      <c r="Q693" s="782">
        <v>5</v>
      </c>
      <c r="R693" s="783"/>
      <c r="S693" s="789"/>
      <c r="T693" s="813"/>
      <c r="U693" s="789"/>
      <c r="V693" s="813"/>
      <c r="W693" s="790"/>
      <c r="X693" s="813"/>
      <c r="Y693" s="782">
        <v>5</v>
      </c>
      <c r="Z693" s="783"/>
      <c r="AA693" s="791"/>
      <c r="AB693" s="791"/>
      <c r="AC693" s="791"/>
      <c r="AD693" s="792"/>
      <c r="AE693" s="786"/>
    </row>
    <row r="694" spans="1:31" s="787" customFormat="1" ht="55.5" customHeight="1">
      <c r="A694" s="777"/>
      <c r="B694" s="777"/>
      <c r="C694" s="778" t="s">
        <v>146</v>
      </c>
      <c r="D694" s="778" t="s">
        <v>65</v>
      </c>
      <c r="E694" s="778" t="s">
        <v>161</v>
      </c>
      <c r="F694" s="778" t="s">
        <v>357</v>
      </c>
      <c r="G694" s="778" t="s">
        <v>166</v>
      </c>
      <c r="H694" s="1914"/>
      <c r="I694" s="780" t="s">
        <v>1120</v>
      </c>
      <c r="J694" s="781"/>
      <c r="K694" s="777"/>
      <c r="L694" s="782"/>
      <c r="M694" s="777"/>
      <c r="N694" s="782">
        <v>0</v>
      </c>
      <c r="O694" s="777"/>
      <c r="P694" s="782"/>
      <c r="Q694" s="777"/>
      <c r="R694" s="783"/>
      <c r="S694" s="777"/>
      <c r="T694" s="812"/>
      <c r="U694" s="813"/>
      <c r="V694" s="812"/>
      <c r="W694" s="790"/>
      <c r="X694" s="782"/>
      <c r="Y694" s="777"/>
      <c r="Z694" s="783"/>
      <c r="AA694" s="777"/>
      <c r="AB694" s="791">
        <f t="shared" si="180"/>
        <v>0</v>
      </c>
      <c r="AC694" s="777"/>
      <c r="AD694" s="792"/>
      <c r="AE694" s="786"/>
    </row>
    <row r="695" spans="1:31" s="787" customFormat="1" ht="57.75" customHeight="1">
      <c r="A695" s="777"/>
      <c r="B695" s="777"/>
      <c r="C695" s="778" t="s">
        <v>146</v>
      </c>
      <c r="D695" s="778" t="s">
        <v>65</v>
      </c>
      <c r="E695" s="778" t="s">
        <v>161</v>
      </c>
      <c r="F695" s="778" t="s">
        <v>357</v>
      </c>
      <c r="G695" s="778" t="s">
        <v>448</v>
      </c>
      <c r="H695" s="1914"/>
      <c r="I695" s="780" t="s">
        <v>1121</v>
      </c>
      <c r="J695" s="781" t="s">
        <v>1122</v>
      </c>
      <c r="K695" s="777"/>
      <c r="L695" s="782">
        <v>250000000</v>
      </c>
      <c r="M695" s="777">
        <v>8</v>
      </c>
      <c r="N695" s="782">
        <v>216313700</v>
      </c>
      <c r="O695" s="777">
        <f>M695</f>
        <v>8</v>
      </c>
      <c r="P695" s="782">
        <v>177075240</v>
      </c>
      <c r="Q695" s="782">
        <v>3</v>
      </c>
      <c r="R695" s="783">
        <v>26368100</v>
      </c>
      <c r="S695" s="789"/>
      <c r="T695" s="782"/>
      <c r="U695" s="789"/>
      <c r="V695" s="777"/>
      <c r="W695" s="790"/>
      <c r="X695" s="782"/>
      <c r="Y695" s="782">
        <v>3</v>
      </c>
      <c r="Z695" s="783">
        <v>26368100</v>
      </c>
      <c r="AA695" s="791">
        <f>Y695</f>
        <v>3</v>
      </c>
      <c r="AB695" s="791">
        <f t="shared" si="180"/>
        <v>242681800</v>
      </c>
      <c r="AC695" s="791"/>
      <c r="AD695" s="792">
        <f t="shared" si="179"/>
        <v>97.072720000000004</v>
      </c>
      <c r="AE695" s="786"/>
    </row>
    <row r="696" spans="1:31" s="787" customFormat="1" ht="57" customHeight="1">
      <c r="A696" s="777"/>
      <c r="B696" s="777"/>
      <c r="C696" s="778" t="s">
        <v>146</v>
      </c>
      <c r="D696" s="778" t="s">
        <v>65</v>
      </c>
      <c r="E696" s="778" t="s">
        <v>161</v>
      </c>
      <c r="F696" s="778" t="s">
        <v>357</v>
      </c>
      <c r="G696" s="778" t="s">
        <v>357</v>
      </c>
      <c r="H696" s="1914"/>
      <c r="I696" s="780" t="s">
        <v>1123</v>
      </c>
      <c r="J696" s="781" t="s">
        <v>1124</v>
      </c>
      <c r="K696" s="777" t="s">
        <v>1125</v>
      </c>
      <c r="L696" s="782">
        <v>450000000</v>
      </c>
      <c r="M696" s="777">
        <f>O696</f>
        <v>0</v>
      </c>
      <c r="N696" s="782">
        <v>422934500</v>
      </c>
      <c r="O696" s="777"/>
      <c r="P696" s="782"/>
      <c r="Q696" s="789"/>
      <c r="R696" s="783"/>
      <c r="S696" s="789"/>
      <c r="T696" s="782"/>
      <c r="U696" s="789"/>
      <c r="V696" s="777"/>
      <c r="W696" s="790"/>
      <c r="X696" s="782"/>
      <c r="Y696" s="789"/>
      <c r="Z696" s="783"/>
      <c r="AA696" s="777">
        <f>Y696</f>
        <v>0</v>
      </c>
      <c r="AB696" s="791">
        <f t="shared" si="180"/>
        <v>422934500</v>
      </c>
      <c r="AC696" s="777"/>
      <c r="AD696" s="792">
        <f t="shared" si="179"/>
        <v>93.98544444444444</v>
      </c>
      <c r="AE696" s="786"/>
    </row>
    <row r="697" spans="1:31" s="787" customFormat="1" ht="70.5" customHeight="1">
      <c r="A697" s="777"/>
      <c r="B697" s="777"/>
      <c r="C697" s="778" t="s">
        <v>146</v>
      </c>
      <c r="D697" s="778" t="s">
        <v>65</v>
      </c>
      <c r="E697" s="778" t="s">
        <v>161</v>
      </c>
      <c r="F697" s="778" t="s">
        <v>357</v>
      </c>
      <c r="G697" s="778" t="s">
        <v>178</v>
      </c>
      <c r="H697" s="1914"/>
      <c r="I697" s="780" t="s">
        <v>1126</v>
      </c>
      <c r="J697" s="781"/>
      <c r="K697" s="777"/>
      <c r="L697" s="782"/>
      <c r="M697" s="777"/>
      <c r="N697" s="782">
        <v>0</v>
      </c>
      <c r="O697" s="777"/>
      <c r="P697" s="782"/>
      <c r="Q697" s="777"/>
      <c r="R697" s="783"/>
      <c r="S697" s="777"/>
      <c r="T697" s="782"/>
      <c r="U697" s="777"/>
      <c r="V697" s="782"/>
      <c r="W697" s="790"/>
      <c r="X697" s="782"/>
      <c r="Y697" s="777"/>
      <c r="Z697" s="783"/>
      <c r="AA697" s="791"/>
      <c r="AB697" s="791">
        <f t="shared" si="180"/>
        <v>0</v>
      </c>
      <c r="AC697" s="791"/>
      <c r="AD697" s="792"/>
      <c r="AE697" s="786"/>
    </row>
    <row r="698" spans="1:31" s="787" customFormat="1" ht="55.5" customHeight="1">
      <c r="A698" s="777"/>
      <c r="B698" s="832"/>
      <c r="C698" s="778" t="s">
        <v>146</v>
      </c>
      <c r="D698" s="778" t="s">
        <v>65</v>
      </c>
      <c r="E698" s="778" t="s">
        <v>161</v>
      </c>
      <c r="F698" s="778" t="s">
        <v>357</v>
      </c>
      <c r="G698" s="778" t="s">
        <v>368</v>
      </c>
      <c r="H698" s="1914"/>
      <c r="I698" s="780" t="s">
        <v>1127</v>
      </c>
      <c r="J698" s="781"/>
      <c r="K698" s="777"/>
      <c r="L698" s="782"/>
      <c r="M698" s="777"/>
      <c r="N698" s="782">
        <v>0</v>
      </c>
      <c r="O698" s="777"/>
      <c r="P698" s="782"/>
      <c r="Q698" s="777"/>
      <c r="R698" s="783"/>
      <c r="S698" s="777"/>
      <c r="T698" s="782"/>
      <c r="U698" s="791"/>
      <c r="V698" s="782"/>
      <c r="W698" s="779"/>
      <c r="X698" s="782"/>
      <c r="Y698" s="777"/>
      <c r="Z698" s="783"/>
      <c r="AA698" s="777"/>
      <c r="AB698" s="791">
        <f t="shared" si="180"/>
        <v>0</v>
      </c>
      <c r="AC698" s="777"/>
      <c r="AD698" s="792"/>
      <c r="AE698" s="786"/>
    </row>
    <row r="699" spans="1:31" s="787" customFormat="1" ht="38.25" customHeight="1">
      <c r="A699" s="777"/>
      <c r="B699" s="777"/>
      <c r="C699" s="778" t="s">
        <v>146</v>
      </c>
      <c r="D699" s="778" t="s">
        <v>65</v>
      </c>
      <c r="E699" s="778" t="s">
        <v>161</v>
      </c>
      <c r="F699" s="778" t="s">
        <v>357</v>
      </c>
      <c r="G699" s="778" t="s">
        <v>399</v>
      </c>
      <c r="H699" s="1914"/>
      <c r="I699" s="780" t="s">
        <v>1128</v>
      </c>
      <c r="J699" s="781"/>
      <c r="K699" s="777"/>
      <c r="L699" s="782"/>
      <c r="M699" s="777"/>
      <c r="N699" s="782">
        <v>0</v>
      </c>
      <c r="O699" s="777"/>
      <c r="P699" s="782"/>
      <c r="Q699" s="777"/>
      <c r="R699" s="783"/>
      <c r="S699" s="777"/>
      <c r="T699" s="782"/>
      <c r="U699" s="777"/>
      <c r="V699" s="782"/>
      <c r="W699" s="779"/>
      <c r="X699" s="782"/>
      <c r="Y699" s="777"/>
      <c r="Z699" s="783"/>
      <c r="AA699" s="777"/>
      <c r="AB699" s="791">
        <f t="shared" si="180"/>
        <v>0</v>
      </c>
      <c r="AC699" s="777"/>
      <c r="AD699" s="792"/>
      <c r="AE699" s="786"/>
    </row>
    <row r="700" spans="1:31" s="787" customFormat="1" ht="71.25" customHeight="1">
      <c r="A700" s="777"/>
      <c r="B700" s="777"/>
      <c r="C700" s="778" t="s">
        <v>146</v>
      </c>
      <c r="D700" s="778" t="s">
        <v>65</v>
      </c>
      <c r="E700" s="778" t="s">
        <v>161</v>
      </c>
      <c r="F700" s="778" t="s">
        <v>357</v>
      </c>
      <c r="G700" s="778" t="s">
        <v>1129</v>
      </c>
      <c r="H700" s="1914"/>
      <c r="I700" s="780" t="s">
        <v>1130</v>
      </c>
      <c r="J700" s="781" t="s">
        <v>1131</v>
      </c>
      <c r="K700" s="777" t="s">
        <v>1132</v>
      </c>
      <c r="L700" s="782">
        <v>300000000</v>
      </c>
      <c r="M700" s="777" t="str">
        <f>K700</f>
        <v>Pengelolaan tutupan vegetasi</v>
      </c>
      <c r="N700" s="782">
        <v>151685999</v>
      </c>
      <c r="O700" s="782">
        <v>0</v>
      </c>
      <c r="P700" s="782">
        <v>0</v>
      </c>
      <c r="Q700" s="782">
        <v>0</v>
      </c>
      <c r="R700" s="783">
        <v>0</v>
      </c>
      <c r="S700" s="789"/>
      <c r="T700" s="782"/>
      <c r="U700" s="777"/>
      <c r="V700" s="788"/>
      <c r="W700" s="790"/>
      <c r="X700" s="782"/>
      <c r="Y700" s="782">
        <v>0</v>
      </c>
      <c r="Z700" s="783">
        <v>0</v>
      </c>
      <c r="AA700" s="777">
        <f>Y700</f>
        <v>0</v>
      </c>
      <c r="AB700" s="791">
        <f t="shared" si="180"/>
        <v>151685999</v>
      </c>
      <c r="AC700" s="777"/>
      <c r="AD700" s="792">
        <f t="shared" si="179"/>
        <v>50.561999666666665</v>
      </c>
      <c r="AE700" s="786"/>
    </row>
    <row r="701" spans="1:31" s="787" customFormat="1" ht="39.75" customHeight="1">
      <c r="A701" s="777"/>
      <c r="B701" s="777"/>
      <c r="C701" s="778" t="s">
        <v>146</v>
      </c>
      <c r="D701" s="778" t="s">
        <v>65</v>
      </c>
      <c r="E701" s="778" t="s">
        <v>161</v>
      </c>
      <c r="F701" s="778" t="s">
        <v>357</v>
      </c>
      <c r="G701" s="778" t="s">
        <v>1133</v>
      </c>
      <c r="H701" s="1914"/>
      <c r="I701" s="780" t="s">
        <v>1134</v>
      </c>
      <c r="J701" s="781" t="s">
        <v>1135</v>
      </c>
      <c r="K701" s="777" t="s">
        <v>1136</v>
      </c>
      <c r="L701" s="782">
        <v>120000000</v>
      </c>
      <c r="M701" s="777" t="str">
        <f>K701</f>
        <v>dokumen</v>
      </c>
      <c r="N701" s="782">
        <v>0</v>
      </c>
      <c r="O701" s="777">
        <v>1</v>
      </c>
      <c r="P701" s="833">
        <v>121250000</v>
      </c>
      <c r="Q701" s="777"/>
      <c r="R701" s="788">
        <v>0</v>
      </c>
      <c r="S701" s="777"/>
      <c r="T701" s="788"/>
      <c r="U701" s="777"/>
      <c r="V701" s="788"/>
      <c r="W701" s="779"/>
      <c r="X701" s="782"/>
      <c r="Y701" s="777"/>
      <c r="Z701" s="788">
        <v>0</v>
      </c>
      <c r="AA701" s="777"/>
      <c r="AB701" s="791">
        <f t="shared" si="180"/>
        <v>0</v>
      </c>
      <c r="AC701" s="777"/>
      <c r="AD701" s="792">
        <f t="shared" si="179"/>
        <v>0</v>
      </c>
      <c r="AE701" s="786"/>
    </row>
    <row r="702" spans="1:31" s="787" customFormat="1" ht="30" customHeight="1">
      <c r="A702" s="777"/>
      <c r="B702" s="777"/>
      <c r="C702" s="778"/>
      <c r="D702" s="778"/>
      <c r="E702" s="778"/>
      <c r="F702" s="778"/>
      <c r="G702" s="778"/>
      <c r="H702" s="1914"/>
      <c r="I702" s="780" t="s">
        <v>1137</v>
      </c>
      <c r="J702" s="781"/>
      <c r="K702" s="777"/>
      <c r="L702" s="782"/>
      <c r="M702" s="777"/>
      <c r="N702" s="782"/>
      <c r="O702" s="777"/>
      <c r="P702" s="833">
        <v>427600000</v>
      </c>
      <c r="Q702" s="777" t="s">
        <v>1138</v>
      </c>
      <c r="R702" s="795">
        <v>15934600</v>
      </c>
      <c r="S702" s="777"/>
      <c r="T702" s="788"/>
      <c r="U702" s="777"/>
      <c r="V702" s="788"/>
      <c r="W702" s="779"/>
      <c r="X702" s="782"/>
      <c r="Y702" s="777" t="s">
        <v>1138</v>
      </c>
      <c r="Z702" s="795">
        <v>15934600</v>
      </c>
      <c r="AA702" s="777"/>
      <c r="AB702" s="791"/>
      <c r="AC702" s="777"/>
      <c r="AD702" s="792"/>
      <c r="AE702" s="786"/>
    </row>
    <row r="703" spans="1:31" s="787" customFormat="1" ht="39.75" customHeight="1">
      <c r="A703" s="777"/>
      <c r="B703" s="777"/>
      <c r="C703" s="778" t="s">
        <v>146</v>
      </c>
      <c r="D703" s="778" t="s">
        <v>65</v>
      </c>
      <c r="E703" s="778" t="s">
        <v>161</v>
      </c>
      <c r="F703" s="778" t="s">
        <v>357</v>
      </c>
      <c r="G703" s="778" t="s">
        <v>1087</v>
      </c>
      <c r="H703" s="1914"/>
      <c r="I703" s="780" t="s">
        <v>1139</v>
      </c>
      <c r="J703" s="781"/>
      <c r="K703" s="777"/>
      <c r="L703" s="782"/>
      <c r="M703" s="777"/>
      <c r="N703" s="782"/>
      <c r="O703" s="777"/>
      <c r="P703" s="782"/>
      <c r="Q703" s="777"/>
      <c r="R703" s="783"/>
      <c r="S703" s="777"/>
      <c r="T703" s="782"/>
      <c r="U703" s="777"/>
      <c r="V703" s="782"/>
      <c r="W703" s="779"/>
      <c r="X703" s="782"/>
      <c r="Y703" s="777"/>
      <c r="Z703" s="783"/>
      <c r="AA703" s="777"/>
      <c r="AB703" s="791"/>
      <c r="AC703" s="777"/>
      <c r="AD703" s="792"/>
      <c r="AE703" s="786"/>
    </row>
    <row r="704" spans="1:31" s="787" customFormat="1" ht="72" customHeight="1">
      <c r="A704" s="777"/>
      <c r="B704" s="777"/>
      <c r="C704" s="778" t="s">
        <v>146</v>
      </c>
      <c r="D704" s="778" t="s">
        <v>65</v>
      </c>
      <c r="E704" s="778" t="s">
        <v>161</v>
      </c>
      <c r="F704" s="778" t="s">
        <v>357</v>
      </c>
      <c r="G704" s="778" t="s">
        <v>1140</v>
      </c>
      <c r="H704" s="1914"/>
      <c r="I704" s="780" t="s">
        <v>1141</v>
      </c>
      <c r="J704" s="781"/>
      <c r="K704" s="777"/>
      <c r="L704" s="782"/>
      <c r="M704" s="777"/>
      <c r="N704" s="782"/>
      <c r="O704" s="777"/>
      <c r="P704" s="782"/>
      <c r="Q704" s="777"/>
      <c r="R704" s="783"/>
      <c r="S704" s="777"/>
      <c r="T704" s="782"/>
      <c r="U704" s="791"/>
      <c r="V704" s="782"/>
      <c r="W704" s="779"/>
      <c r="X704" s="782"/>
      <c r="Y704" s="777"/>
      <c r="Z704" s="783"/>
      <c r="AA704" s="777"/>
      <c r="AB704" s="791"/>
      <c r="AC704" s="777"/>
      <c r="AD704" s="792"/>
      <c r="AE704" s="786"/>
    </row>
    <row r="705" spans="1:31" s="787" customFormat="1" ht="29.25" customHeight="1">
      <c r="A705" s="777"/>
      <c r="B705" s="777"/>
      <c r="C705" s="778" t="s">
        <v>146</v>
      </c>
      <c r="D705" s="778" t="s">
        <v>65</v>
      </c>
      <c r="E705" s="778" t="s">
        <v>161</v>
      </c>
      <c r="F705" s="778" t="s">
        <v>357</v>
      </c>
      <c r="G705" s="778" t="s">
        <v>164</v>
      </c>
      <c r="H705" s="1914"/>
      <c r="I705" s="780" t="s">
        <v>1142</v>
      </c>
      <c r="J705" s="781"/>
      <c r="K705" s="777"/>
      <c r="L705" s="782"/>
      <c r="M705" s="777"/>
      <c r="N705" s="782"/>
      <c r="O705" s="777"/>
      <c r="P705" s="782"/>
      <c r="Q705" s="777"/>
      <c r="R705" s="783"/>
      <c r="S705" s="777"/>
      <c r="T705" s="782"/>
      <c r="U705" s="777"/>
      <c r="V705" s="782"/>
      <c r="W705" s="779"/>
      <c r="X705" s="782"/>
      <c r="Y705" s="777"/>
      <c r="Z705" s="783"/>
      <c r="AA705" s="777"/>
      <c r="AB705" s="791"/>
      <c r="AC705" s="777"/>
      <c r="AD705" s="792"/>
      <c r="AE705" s="786"/>
    </row>
    <row r="706" spans="1:31" s="787" customFormat="1" ht="41.25" customHeight="1">
      <c r="A706" s="777"/>
      <c r="B706" s="777"/>
      <c r="C706" s="778" t="s">
        <v>146</v>
      </c>
      <c r="D706" s="778" t="s">
        <v>65</v>
      </c>
      <c r="E706" s="778" t="s">
        <v>161</v>
      </c>
      <c r="F706" s="778" t="s">
        <v>357</v>
      </c>
      <c r="G706" s="778" t="s">
        <v>469</v>
      </c>
      <c r="H706" s="1914"/>
      <c r="I706" s="780" t="s">
        <v>1143</v>
      </c>
      <c r="J706" s="781"/>
      <c r="K706" s="777"/>
      <c r="L706" s="782"/>
      <c r="M706" s="777"/>
      <c r="N706" s="782"/>
      <c r="O706" s="777"/>
      <c r="P706" s="782"/>
      <c r="Q706" s="777"/>
      <c r="R706" s="783"/>
      <c r="S706" s="777"/>
      <c r="T706" s="782"/>
      <c r="U706" s="777"/>
      <c r="V706" s="782"/>
      <c r="W706" s="779"/>
      <c r="X706" s="782"/>
      <c r="Y706" s="777"/>
      <c r="Z706" s="783"/>
      <c r="AA706" s="777"/>
      <c r="AB706" s="791"/>
      <c r="AC706" s="777"/>
      <c r="AD706" s="792"/>
      <c r="AE706" s="786"/>
    </row>
    <row r="707" spans="1:31" s="787" customFormat="1" ht="51.75" customHeight="1">
      <c r="A707" s="777"/>
      <c r="B707" s="777"/>
      <c r="C707" s="778" t="s">
        <v>146</v>
      </c>
      <c r="D707" s="778" t="s">
        <v>65</v>
      </c>
      <c r="E707" s="778" t="s">
        <v>161</v>
      </c>
      <c r="F707" s="778" t="s">
        <v>357</v>
      </c>
      <c r="G707" s="778" t="s">
        <v>1089</v>
      </c>
      <c r="H707" s="1914"/>
      <c r="I707" s="780" t="s">
        <v>1144</v>
      </c>
      <c r="J707" s="781"/>
      <c r="K707" s="777"/>
      <c r="L707" s="782"/>
      <c r="M707" s="777"/>
      <c r="N707" s="782"/>
      <c r="O707" s="777"/>
      <c r="P707" s="782"/>
      <c r="Q707" s="777"/>
      <c r="R707" s="783"/>
      <c r="S707" s="777"/>
      <c r="T707" s="782"/>
      <c r="U707" s="777"/>
      <c r="V707" s="782"/>
      <c r="W707" s="779"/>
      <c r="X707" s="782"/>
      <c r="Y707" s="777"/>
      <c r="Z707" s="783"/>
      <c r="AA707" s="777"/>
      <c r="AB707" s="791"/>
      <c r="AC707" s="777"/>
      <c r="AD707" s="792"/>
      <c r="AE707" s="786"/>
    </row>
    <row r="708" spans="1:31" s="787" customFormat="1" ht="23.25" customHeight="1">
      <c r="A708" s="777"/>
      <c r="B708" s="777"/>
      <c r="C708" s="778" t="s">
        <v>146</v>
      </c>
      <c r="D708" s="778" t="s">
        <v>65</v>
      </c>
      <c r="E708" s="778" t="s">
        <v>161</v>
      </c>
      <c r="F708" s="778" t="s">
        <v>357</v>
      </c>
      <c r="G708" s="778" t="s">
        <v>345</v>
      </c>
      <c r="H708" s="1914"/>
      <c r="I708" s="780" t="s">
        <v>1145</v>
      </c>
      <c r="J708" s="781"/>
      <c r="K708" s="777"/>
      <c r="L708" s="782"/>
      <c r="M708" s="777"/>
      <c r="N708" s="782"/>
      <c r="O708" s="777"/>
      <c r="P708" s="782"/>
      <c r="Q708" s="777"/>
      <c r="R708" s="783"/>
      <c r="S708" s="777"/>
      <c r="T708" s="782"/>
      <c r="U708" s="777"/>
      <c r="V708" s="782"/>
      <c r="W708" s="779"/>
      <c r="X708" s="782"/>
      <c r="Y708" s="777"/>
      <c r="Z708" s="783"/>
      <c r="AA708" s="777"/>
      <c r="AB708" s="791"/>
      <c r="AC708" s="777"/>
      <c r="AD708" s="792"/>
      <c r="AE708" s="786"/>
    </row>
    <row r="709" spans="1:31" s="787" customFormat="1" ht="36.75" customHeight="1">
      <c r="A709" s="777"/>
      <c r="B709" s="777"/>
      <c r="C709" s="778" t="s">
        <v>146</v>
      </c>
      <c r="D709" s="778" t="s">
        <v>65</v>
      </c>
      <c r="E709" s="778" t="s">
        <v>161</v>
      </c>
      <c r="F709" s="778" t="s">
        <v>357</v>
      </c>
      <c r="G709" s="778" t="s">
        <v>347</v>
      </c>
      <c r="H709" s="1914"/>
      <c r="I709" s="780" t="s">
        <v>1146</v>
      </c>
      <c r="J709" s="781"/>
      <c r="K709" s="777"/>
      <c r="L709" s="782"/>
      <c r="M709" s="777"/>
      <c r="N709" s="782"/>
      <c r="O709" s="777"/>
      <c r="P709" s="782"/>
      <c r="Q709" s="777"/>
      <c r="R709" s="783"/>
      <c r="S709" s="777"/>
      <c r="T709" s="782"/>
      <c r="U709" s="791"/>
      <c r="V709" s="782"/>
      <c r="W709" s="779"/>
      <c r="X709" s="782"/>
      <c r="Y709" s="777"/>
      <c r="Z709" s="783"/>
      <c r="AA709" s="777"/>
      <c r="AB709" s="791"/>
      <c r="AC709" s="777"/>
      <c r="AD709" s="792"/>
      <c r="AE709" s="786"/>
    </row>
    <row r="710" spans="1:31" s="787" customFormat="1" ht="37.5" customHeight="1">
      <c r="A710" s="777"/>
      <c r="B710" s="777"/>
      <c r="C710" s="778" t="s">
        <v>146</v>
      </c>
      <c r="D710" s="778" t="s">
        <v>65</v>
      </c>
      <c r="E710" s="778" t="s">
        <v>161</v>
      </c>
      <c r="F710" s="778" t="s">
        <v>357</v>
      </c>
      <c r="G710" s="778" t="s">
        <v>349</v>
      </c>
      <c r="H710" s="1914"/>
      <c r="I710" s="780" t="s">
        <v>1147</v>
      </c>
      <c r="J710" s="781"/>
      <c r="K710" s="777"/>
      <c r="L710" s="782"/>
      <c r="M710" s="777"/>
      <c r="N710" s="782">
        <v>38805700</v>
      </c>
      <c r="O710" s="777"/>
      <c r="P710" s="782"/>
      <c r="Q710" s="777"/>
      <c r="R710" s="783"/>
      <c r="S710" s="777"/>
      <c r="T710" s="816"/>
      <c r="U710" s="813"/>
      <c r="V710" s="816"/>
      <c r="W710" s="790"/>
      <c r="X710" s="782"/>
      <c r="Y710" s="777"/>
      <c r="Z710" s="783"/>
      <c r="AA710" s="777"/>
      <c r="AB710" s="791"/>
      <c r="AC710" s="777"/>
      <c r="AD710" s="792"/>
      <c r="AE710" s="786"/>
    </row>
    <row r="711" spans="1:31" s="787" customFormat="1" ht="55.5" customHeight="1">
      <c r="A711" s="777"/>
      <c r="B711" s="777"/>
      <c r="C711" s="778" t="s">
        <v>146</v>
      </c>
      <c r="D711" s="778" t="s">
        <v>65</v>
      </c>
      <c r="E711" s="778" t="s">
        <v>161</v>
      </c>
      <c r="F711" s="778" t="s">
        <v>357</v>
      </c>
      <c r="G711" s="778" t="s">
        <v>1148</v>
      </c>
      <c r="H711" s="2475"/>
      <c r="I711" s="780" t="s">
        <v>1149</v>
      </c>
      <c r="J711" s="781" t="s">
        <v>1150</v>
      </c>
      <c r="K711" s="777" t="s">
        <v>1151</v>
      </c>
      <c r="L711" s="782">
        <v>75000000</v>
      </c>
      <c r="M711" s="777" t="str">
        <f>K711</f>
        <v>data kegiatan yang memiliki izin lingkungan</v>
      </c>
      <c r="N711" s="782">
        <v>38725200</v>
      </c>
      <c r="O711" s="777">
        <v>15</v>
      </c>
      <c r="P711" s="782">
        <v>28178180</v>
      </c>
      <c r="Q711" s="782">
        <v>11</v>
      </c>
      <c r="R711" s="783">
        <v>5129000</v>
      </c>
      <c r="S711" s="789"/>
      <c r="T711" s="782"/>
      <c r="U711" s="789"/>
      <c r="V711" s="782"/>
      <c r="W711" s="790"/>
      <c r="X711" s="782"/>
      <c r="Y711" s="782">
        <v>11</v>
      </c>
      <c r="Z711" s="783">
        <v>5129000</v>
      </c>
      <c r="AA711" s="777">
        <f>Y711</f>
        <v>11</v>
      </c>
      <c r="AB711" s="791">
        <f t="shared" si="180"/>
        <v>43854200</v>
      </c>
      <c r="AC711" s="777"/>
      <c r="AD711" s="792">
        <f t="shared" si="179"/>
        <v>58.472266666666663</v>
      </c>
      <c r="AE711" s="786"/>
    </row>
    <row r="712" spans="1:31" s="787" customFormat="1" ht="47.25" customHeight="1">
      <c r="A712" s="777"/>
      <c r="B712" s="777"/>
      <c r="C712" s="779"/>
      <c r="D712" s="779"/>
      <c r="E712" s="779"/>
      <c r="F712" s="779"/>
      <c r="G712" s="779"/>
      <c r="H712" s="2475"/>
      <c r="I712" s="780" t="s">
        <v>1152</v>
      </c>
      <c r="J712" s="781" t="s">
        <v>1153</v>
      </c>
      <c r="K712" s="777" t="s">
        <v>1154</v>
      </c>
      <c r="L712" s="782">
        <v>250000000</v>
      </c>
      <c r="M712" s="777" t="str">
        <f>K712</f>
        <v>tersosialisasi penegakan hukum lingkungan</v>
      </c>
      <c r="N712" s="782">
        <v>160107150</v>
      </c>
      <c r="O712" s="777"/>
      <c r="P712" s="782"/>
      <c r="Q712" s="789"/>
      <c r="R712" s="795"/>
      <c r="S712" s="789"/>
      <c r="T712" s="788"/>
      <c r="U712" s="789"/>
      <c r="V712" s="782"/>
      <c r="W712" s="790"/>
      <c r="X712" s="782"/>
      <c r="Y712" s="789"/>
      <c r="Z712" s="795"/>
      <c r="AA712" s="791"/>
      <c r="AB712" s="791">
        <f t="shared" si="180"/>
        <v>160107150</v>
      </c>
      <c r="AC712" s="777"/>
      <c r="AD712" s="792">
        <f t="shared" si="179"/>
        <v>64.042860000000005</v>
      </c>
      <c r="AE712" s="786"/>
    </row>
    <row r="713" spans="1:31" s="787" customFormat="1" ht="40.5" customHeight="1">
      <c r="A713" s="777"/>
      <c r="B713" s="777"/>
      <c r="C713" s="779"/>
      <c r="D713" s="779"/>
      <c r="E713" s="779"/>
      <c r="F713" s="779"/>
      <c r="G713" s="779"/>
      <c r="H713" s="1914"/>
      <c r="I713" s="780" t="s">
        <v>1137</v>
      </c>
      <c r="J713" s="781" t="s">
        <v>1155</v>
      </c>
      <c r="K713" s="777"/>
      <c r="L713" s="782"/>
      <c r="M713" s="777"/>
      <c r="N713" s="782"/>
      <c r="O713" s="777">
        <v>10</v>
      </c>
      <c r="P713" s="782">
        <v>427600000</v>
      </c>
      <c r="Q713" s="782">
        <v>0</v>
      </c>
      <c r="R713" s="795">
        <v>15934600</v>
      </c>
      <c r="S713" s="789"/>
      <c r="T713" s="788"/>
      <c r="U713" s="789"/>
      <c r="V713" s="782"/>
      <c r="W713" s="790"/>
      <c r="X713" s="782"/>
      <c r="Y713" s="782">
        <v>0</v>
      </c>
      <c r="Z713" s="795">
        <v>15934600</v>
      </c>
      <c r="AA713" s="791"/>
      <c r="AB713" s="791"/>
      <c r="AC713" s="777"/>
      <c r="AD713" s="792"/>
      <c r="AE713" s="786"/>
    </row>
    <row r="714" spans="1:31" s="776" customFormat="1" ht="51" customHeight="1">
      <c r="A714" s="819">
        <v>4</v>
      </c>
      <c r="B714" s="800" t="s">
        <v>1039</v>
      </c>
      <c r="C714" s="820" t="s">
        <v>146</v>
      </c>
      <c r="D714" s="820" t="s">
        <v>65</v>
      </c>
      <c r="E714" s="820" t="s">
        <v>161</v>
      </c>
      <c r="F714" s="820" t="s">
        <v>376</v>
      </c>
      <c r="G714" s="821"/>
      <c r="H714" s="822"/>
      <c r="I714" s="834" t="s">
        <v>1156</v>
      </c>
      <c r="J714" s="800" t="s">
        <v>1041</v>
      </c>
      <c r="K714" s="819"/>
      <c r="L714" s="835">
        <f>L715</f>
        <v>417000000</v>
      </c>
      <c r="M714" s="819"/>
      <c r="N714" s="835">
        <v>160107150</v>
      </c>
      <c r="O714" s="819"/>
      <c r="P714" s="835">
        <f>P715</f>
        <v>58931380</v>
      </c>
      <c r="Q714" s="836">
        <f>R714/P714</f>
        <v>9.3552874546633732E-2</v>
      </c>
      <c r="R714" s="837">
        <f>R715</f>
        <v>5513200</v>
      </c>
      <c r="S714" s="819"/>
      <c r="T714" s="835"/>
      <c r="U714" s="819"/>
      <c r="V714" s="838"/>
      <c r="W714" s="821"/>
      <c r="X714" s="835"/>
      <c r="Y714" s="828">
        <f>+Z714/P714</f>
        <v>9.3552874546633732E-2</v>
      </c>
      <c r="Z714" s="837">
        <f>Z715</f>
        <v>5513200</v>
      </c>
      <c r="AA714" s="819"/>
      <c r="AB714" s="829">
        <f t="shared" si="180"/>
        <v>165620350</v>
      </c>
      <c r="AC714" s="819"/>
      <c r="AD714" s="830">
        <f t="shared" si="179"/>
        <v>39.717110311750595</v>
      </c>
      <c r="AE714" s="839"/>
    </row>
    <row r="715" spans="1:31" s="787" customFormat="1" ht="52.5" customHeight="1">
      <c r="A715" s="777"/>
      <c r="B715" s="777"/>
      <c r="C715" s="778" t="s">
        <v>146</v>
      </c>
      <c r="D715" s="778" t="s">
        <v>65</v>
      </c>
      <c r="E715" s="778" t="s">
        <v>161</v>
      </c>
      <c r="F715" s="778" t="s">
        <v>376</v>
      </c>
      <c r="G715" s="778" t="s">
        <v>202</v>
      </c>
      <c r="H715" s="1914"/>
      <c r="I715" s="780" t="s">
        <v>1157</v>
      </c>
      <c r="J715" s="781" t="s">
        <v>1158</v>
      </c>
      <c r="K715" s="777" t="s">
        <v>1159</v>
      </c>
      <c r="L715" s="782">
        <v>417000000</v>
      </c>
      <c r="M715" s="777" t="str">
        <f>K715</f>
        <v>Kondisi kualitas air sungai, embung dan tanah</v>
      </c>
      <c r="N715" s="782"/>
      <c r="O715" s="777">
        <v>5</v>
      </c>
      <c r="P715" s="782">
        <v>58931380</v>
      </c>
      <c r="Q715" s="782">
        <v>2</v>
      </c>
      <c r="R715" s="783">
        <v>5513200</v>
      </c>
      <c r="S715" s="789"/>
      <c r="T715" s="782"/>
      <c r="U715" s="789"/>
      <c r="V715" s="788"/>
      <c r="W715" s="790"/>
      <c r="X715" s="782"/>
      <c r="Y715" s="782">
        <v>2</v>
      </c>
      <c r="Z715" s="783">
        <v>5513200</v>
      </c>
      <c r="AA715" s="777"/>
      <c r="AB715" s="791">
        <f t="shared" si="180"/>
        <v>5513200</v>
      </c>
      <c r="AC715" s="777"/>
      <c r="AD715" s="792">
        <f t="shared" si="179"/>
        <v>1.3221103117505997</v>
      </c>
      <c r="AE715" s="786"/>
    </row>
    <row r="716" spans="1:31" s="787" customFormat="1" ht="23.25" customHeight="1">
      <c r="A716" s="777"/>
      <c r="B716" s="777"/>
      <c r="C716" s="778" t="s">
        <v>146</v>
      </c>
      <c r="D716" s="778" t="s">
        <v>65</v>
      </c>
      <c r="E716" s="778" t="s">
        <v>161</v>
      </c>
      <c r="F716" s="778" t="s">
        <v>376</v>
      </c>
      <c r="G716" s="778" t="s">
        <v>391</v>
      </c>
      <c r="H716" s="1914"/>
      <c r="I716" s="780" t="s">
        <v>1160</v>
      </c>
      <c r="J716" s="781"/>
      <c r="K716" s="777"/>
      <c r="L716" s="782"/>
      <c r="M716" s="777"/>
      <c r="N716" s="782"/>
      <c r="O716" s="777"/>
      <c r="P716" s="782"/>
      <c r="Q716" s="777"/>
      <c r="R716" s="783"/>
      <c r="S716" s="777"/>
      <c r="T716" s="782"/>
      <c r="U716" s="777"/>
      <c r="V716" s="782"/>
      <c r="W716" s="779"/>
      <c r="X716" s="782"/>
      <c r="Y716" s="777"/>
      <c r="Z716" s="783"/>
      <c r="AA716" s="777"/>
      <c r="AB716" s="791"/>
      <c r="AC716" s="777"/>
      <c r="AD716" s="792"/>
      <c r="AE716" s="786"/>
    </row>
    <row r="717" spans="1:31" s="787" customFormat="1" ht="23.25" customHeight="1">
      <c r="A717" s="777"/>
      <c r="B717" s="777"/>
      <c r="C717" s="778" t="s">
        <v>146</v>
      </c>
      <c r="D717" s="778" t="s">
        <v>65</v>
      </c>
      <c r="E717" s="778" t="s">
        <v>161</v>
      </c>
      <c r="F717" s="778" t="s">
        <v>376</v>
      </c>
      <c r="G717" s="778" t="s">
        <v>396</v>
      </c>
      <c r="H717" s="1914"/>
      <c r="I717" s="780" t="s">
        <v>1161</v>
      </c>
      <c r="J717" s="781"/>
      <c r="K717" s="777"/>
      <c r="L717" s="782"/>
      <c r="M717" s="777"/>
      <c r="N717" s="782"/>
      <c r="O717" s="777"/>
      <c r="P717" s="782"/>
      <c r="Q717" s="777"/>
      <c r="R717" s="783"/>
      <c r="S717" s="777"/>
      <c r="T717" s="798"/>
      <c r="U717" s="777"/>
      <c r="V717" s="782"/>
      <c r="W717" s="793"/>
      <c r="X717" s="782"/>
      <c r="Y717" s="777"/>
      <c r="Z717" s="783"/>
      <c r="AA717" s="777"/>
      <c r="AB717" s="791"/>
      <c r="AC717" s="777"/>
      <c r="AD717" s="792"/>
      <c r="AE717" s="786"/>
    </row>
    <row r="718" spans="1:31" s="787" customFormat="1" ht="23.25" customHeight="1">
      <c r="A718" s="777"/>
      <c r="B718" s="777"/>
      <c r="C718" s="778" t="s">
        <v>146</v>
      </c>
      <c r="D718" s="778" t="s">
        <v>65</v>
      </c>
      <c r="E718" s="778" t="s">
        <v>161</v>
      </c>
      <c r="F718" s="778" t="s">
        <v>376</v>
      </c>
      <c r="G718" s="778" t="s">
        <v>155</v>
      </c>
      <c r="H718" s="840"/>
      <c r="I718" s="780" t="s">
        <v>1162</v>
      </c>
      <c r="J718" s="781"/>
      <c r="K718" s="777"/>
      <c r="L718" s="782"/>
      <c r="M718" s="777"/>
      <c r="N718" s="782"/>
      <c r="O718" s="777"/>
      <c r="P718" s="782"/>
      <c r="Q718" s="777"/>
      <c r="R718" s="783"/>
      <c r="S718" s="777"/>
      <c r="T718" s="782"/>
      <c r="U718" s="777"/>
      <c r="V718" s="782"/>
      <c r="W718" s="779"/>
      <c r="X718" s="782"/>
      <c r="Y718" s="777"/>
      <c r="Z718" s="783"/>
      <c r="AA718" s="777"/>
      <c r="AB718" s="791"/>
      <c r="AC718" s="777"/>
      <c r="AD718" s="792"/>
      <c r="AE718" s="786"/>
    </row>
    <row r="719" spans="1:31" s="776" customFormat="1" ht="51.75" customHeight="1">
      <c r="A719" s="819">
        <v>5</v>
      </c>
      <c r="B719" s="800" t="s">
        <v>1163</v>
      </c>
      <c r="C719" s="820" t="s">
        <v>146</v>
      </c>
      <c r="D719" s="820" t="s">
        <v>65</v>
      </c>
      <c r="E719" s="820" t="s">
        <v>161</v>
      </c>
      <c r="F719" s="820" t="s">
        <v>515</v>
      </c>
      <c r="G719" s="821"/>
      <c r="H719" s="822"/>
      <c r="I719" s="834" t="s">
        <v>1164</v>
      </c>
      <c r="J719" s="800" t="s">
        <v>1165</v>
      </c>
      <c r="K719" s="825">
        <v>0.5</v>
      </c>
      <c r="L719" s="841">
        <f>L724</f>
        <v>200000000</v>
      </c>
      <c r="M719" s="827">
        <v>0.25</v>
      </c>
      <c r="N719" s="835"/>
      <c r="O719" s="827">
        <v>0.3</v>
      </c>
      <c r="P719" s="835">
        <f>P724</f>
        <v>101630660</v>
      </c>
      <c r="Q719" s="836">
        <f>R719/P719</f>
        <v>1.0397649685636204E-2</v>
      </c>
      <c r="R719" s="837">
        <f>R724</f>
        <v>1056720</v>
      </c>
      <c r="S719" s="819"/>
      <c r="T719" s="835"/>
      <c r="U719" s="819"/>
      <c r="V719" s="835"/>
      <c r="W719" s="821"/>
      <c r="X719" s="835"/>
      <c r="Y719" s="828">
        <f>+Z719/P719</f>
        <v>1.0397649685636204E-2</v>
      </c>
      <c r="Z719" s="837">
        <f>Z724</f>
        <v>1056720</v>
      </c>
      <c r="AA719" s="819"/>
      <c r="AB719" s="842">
        <f t="shared" ref="AB719" si="181">Z719+N719</f>
        <v>1056720</v>
      </c>
      <c r="AC719" s="819"/>
      <c r="AD719" s="830">
        <f t="shared" ref="AD719" si="182">(AB719/L719)*100</f>
        <v>0.52836000000000005</v>
      </c>
      <c r="AE719" s="774" t="s">
        <v>1056</v>
      </c>
    </row>
    <row r="720" spans="1:31" s="787" customFormat="1" ht="64.5" customHeight="1">
      <c r="A720" s="777"/>
      <c r="B720" s="777"/>
      <c r="C720" s="778" t="s">
        <v>146</v>
      </c>
      <c r="D720" s="778" t="s">
        <v>65</v>
      </c>
      <c r="E720" s="778" t="s">
        <v>161</v>
      </c>
      <c r="F720" s="778" t="s">
        <v>515</v>
      </c>
      <c r="G720" s="778" t="s">
        <v>66</v>
      </c>
      <c r="H720" s="1914"/>
      <c r="I720" s="780" t="s">
        <v>1166</v>
      </c>
      <c r="J720" s="781"/>
      <c r="K720" s="777"/>
      <c r="L720" s="782"/>
      <c r="M720" s="777"/>
      <c r="N720" s="782"/>
      <c r="O720" s="777"/>
      <c r="P720" s="782"/>
      <c r="Q720" s="777"/>
      <c r="R720" s="783"/>
      <c r="S720" s="777"/>
      <c r="T720" s="782"/>
      <c r="U720" s="777"/>
      <c r="V720" s="782"/>
      <c r="W720" s="779"/>
      <c r="X720" s="782"/>
      <c r="Y720" s="777"/>
      <c r="Z720" s="783"/>
      <c r="AA720" s="777"/>
      <c r="AB720" s="791"/>
      <c r="AC720" s="777"/>
      <c r="AD720" s="792"/>
      <c r="AE720" s="786"/>
    </row>
    <row r="721" spans="1:31" s="787" customFormat="1" ht="37.5" customHeight="1">
      <c r="A721" s="777"/>
      <c r="B721" s="777"/>
      <c r="C721" s="778" t="s">
        <v>146</v>
      </c>
      <c r="D721" s="778" t="s">
        <v>65</v>
      </c>
      <c r="E721" s="778" t="s">
        <v>161</v>
      </c>
      <c r="F721" s="778" t="s">
        <v>515</v>
      </c>
      <c r="G721" s="778" t="s">
        <v>95</v>
      </c>
      <c r="H721" s="1914"/>
      <c r="I721" s="780" t="s">
        <v>1167</v>
      </c>
      <c r="J721" s="781"/>
      <c r="K721" s="777"/>
      <c r="L721" s="782"/>
      <c r="M721" s="777"/>
      <c r="N721" s="782"/>
      <c r="O721" s="777"/>
      <c r="P721" s="782"/>
      <c r="Q721" s="777"/>
      <c r="R721" s="783"/>
      <c r="S721" s="777"/>
      <c r="T721" s="782"/>
      <c r="U721" s="777"/>
      <c r="V721" s="782"/>
      <c r="W721" s="779"/>
      <c r="X721" s="782"/>
      <c r="Y721" s="777"/>
      <c r="Z721" s="783"/>
      <c r="AA721" s="777"/>
      <c r="AB721" s="791"/>
      <c r="AC721" s="777"/>
      <c r="AD721" s="792"/>
      <c r="AE721" s="786"/>
    </row>
    <row r="722" spans="1:31" s="787" customFormat="1" ht="36.75" customHeight="1">
      <c r="A722" s="777"/>
      <c r="B722" s="777"/>
      <c r="C722" s="778" t="s">
        <v>146</v>
      </c>
      <c r="D722" s="778" t="s">
        <v>65</v>
      </c>
      <c r="E722" s="778" t="s">
        <v>161</v>
      </c>
      <c r="F722" s="778" t="s">
        <v>515</v>
      </c>
      <c r="G722" s="778" t="s">
        <v>197</v>
      </c>
      <c r="H722" s="1914"/>
      <c r="I722" s="780" t="s">
        <v>1168</v>
      </c>
      <c r="J722" s="781"/>
      <c r="K722" s="777"/>
      <c r="L722" s="782"/>
      <c r="M722" s="777"/>
      <c r="N722" s="782"/>
      <c r="O722" s="777"/>
      <c r="P722" s="782"/>
      <c r="Q722" s="777"/>
      <c r="R722" s="783"/>
      <c r="S722" s="777"/>
      <c r="T722" s="782"/>
      <c r="U722" s="777"/>
      <c r="V722" s="782"/>
      <c r="W722" s="779"/>
      <c r="X722" s="782"/>
      <c r="Y722" s="777"/>
      <c r="Z722" s="783"/>
      <c r="AA722" s="777"/>
      <c r="AB722" s="784"/>
      <c r="AC722" s="777"/>
      <c r="AD722" s="792"/>
      <c r="AE722" s="786"/>
    </row>
    <row r="723" spans="1:31" s="787" customFormat="1" ht="39.75" customHeight="1">
      <c r="A723" s="777"/>
      <c r="B723" s="777"/>
      <c r="C723" s="778" t="s">
        <v>146</v>
      </c>
      <c r="D723" s="778" t="s">
        <v>65</v>
      </c>
      <c r="E723" s="778" t="s">
        <v>161</v>
      </c>
      <c r="F723" s="778" t="s">
        <v>515</v>
      </c>
      <c r="G723" s="778" t="s">
        <v>198</v>
      </c>
      <c r="H723" s="1914"/>
      <c r="I723" s="780" t="s">
        <v>1169</v>
      </c>
      <c r="J723" s="781"/>
      <c r="K723" s="777"/>
      <c r="L723" s="782"/>
      <c r="M723" s="777"/>
      <c r="N723" s="782"/>
      <c r="O723" s="777"/>
      <c r="P723" s="816"/>
      <c r="Q723" s="813"/>
      <c r="R723" s="843"/>
      <c r="S723" s="777"/>
      <c r="T723" s="782"/>
      <c r="U723" s="777"/>
      <c r="V723" s="782"/>
      <c r="W723" s="779"/>
      <c r="X723" s="782"/>
      <c r="Y723" s="813"/>
      <c r="Z723" s="843"/>
      <c r="AA723" s="777"/>
      <c r="AB723" s="784"/>
      <c r="AC723" s="777"/>
      <c r="AD723" s="792"/>
      <c r="AE723" s="786"/>
    </row>
    <row r="724" spans="1:31" s="787" customFormat="1" ht="38.25" customHeight="1">
      <c r="A724" s="777"/>
      <c r="B724" s="777"/>
      <c r="C724" s="778" t="s">
        <v>146</v>
      </c>
      <c r="D724" s="778" t="s">
        <v>65</v>
      </c>
      <c r="E724" s="778" t="s">
        <v>161</v>
      </c>
      <c r="F724" s="778" t="s">
        <v>515</v>
      </c>
      <c r="G724" s="778" t="s">
        <v>93</v>
      </c>
      <c r="H724" s="1914"/>
      <c r="I724" s="780" t="s">
        <v>1170</v>
      </c>
      <c r="J724" s="781" t="s">
        <v>1171</v>
      </c>
      <c r="K724" s="777"/>
      <c r="L724" s="782">
        <v>200000000</v>
      </c>
      <c r="M724" s="777"/>
      <c r="N724" s="782"/>
      <c r="O724" s="777">
        <v>10</v>
      </c>
      <c r="P724" s="782">
        <v>101630660</v>
      </c>
      <c r="Q724" s="782">
        <v>0</v>
      </c>
      <c r="R724" s="783">
        <v>1056720</v>
      </c>
      <c r="S724" s="777"/>
      <c r="T724" s="782"/>
      <c r="U724" s="777"/>
      <c r="V724" s="782"/>
      <c r="W724" s="779"/>
      <c r="X724" s="782"/>
      <c r="Y724" s="782">
        <v>0</v>
      </c>
      <c r="Z724" s="783">
        <v>1056720</v>
      </c>
      <c r="AA724" s="777"/>
      <c r="AB724" s="791">
        <f t="shared" ref="AB724" si="183">Z724+N724</f>
        <v>1056720</v>
      </c>
      <c r="AC724" s="777"/>
      <c r="AD724" s="792">
        <f t="shared" ref="AD724" si="184">(AB724/L724)*100</f>
        <v>0.52836000000000005</v>
      </c>
      <c r="AE724" s="786"/>
    </row>
    <row r="725" spans="1:31" s="776" customFormat="1" ht="36" customHeight="1">
      <c r="A725" s="819"/>
      <c r="B725" s="819"/>
      <c r="C725" s="820" t="s">
        <v>146</v>
      </c>
      <c r="D725" s="820" t="s">
        <v>65</v>
      </c>
      <c r="E725" s="820" t="s">
        <v>161</v>
      </c>
      <c r="F725" s="820" t="s">
        <v>459</v>
      </c>
      <c r="G725" s="820"/>
      <c r="H725" s="844"/>
      <c r="I725" s="834" t="s">
        <v>1172</v>
      </c>
      <c r="J725" s="845"/>
      <c r="K725" s="819"/>
      <c r="L725" s="835"/>
      <c r="M725" s="819"/>
      <c r="N725" s="835"/>
      <c r="O725" s="819"/>
      <c r="P725" s="835"/>
      <c r="Q725" s="819"/>
      <c r="R725" s="837"/>
      <c r="S725" s="819"/>
      <c r="T725" s="835"/>
      <c r="U725" s="819"/>
      <c r="V725" s="835"/>
      <c r="W725" s="821"/>
      <c r="X725" s="835"/>
      <c r="Y725" s="819"/>
      <c r="Z725" s="837"/>
      <c r="AA725" s="819"/>
      <c r="AB725" s="842"/>
      <c r="AC725" s="819"/>
      <c r="AD725" s="830"/>
      <c r="AE725" s="839"/>
    </row>
    <row r="726" spans="1:31" s="787" customFormat="1" ht="53.25" customHeight="1">
      <c r="A726" s="777"/>
      <c r="B726" s="777"/>
      <c r="C726" s="778" t="s">
        <v>146</v>
      </c>
      <c r="D726" s="778" t="s">
        <v>65</v>
      </c>
      <c r="E726" s="778" t="s">
        <v>161</v>
      </c>
      <c r="F726" s="778" t="s">
        <v>459</v>
      </c>
      <c r="G726" s="778" t="s">
        <v>65</v>
      </c>
      <c r="H726" s="1914"/>
      <c r="I726" s="780" t="s">
        <v>1173</v>
      </c>
      <c r="J726" s="781"/>
      <c r="K726" s="777"/>
      <c r="L726" s="782"/>
      <c r="M726" s="777"/>
      <c r="N726" s="782"/>
      <c r="O726" s="777"/>
      <c r="P726" s="782"/>
      <c r="Q726" s="777"/>
      <c r="R726" s="783"/>
      <c r="S726" s="777"/>
      <c r="T726" s="782"/>
      <c r="U726" s="777"/>
      <c r="V726" s="782"/>
      <c r="W726" s="779"/>
      <c r="X726" s="782"/>
      <c r="Y726" s="777"/>
      <c r="Z726" s="783"/>
      <c r="AA726" s="777"/>
      <c r="AB726" s="791"/>
      <c r="AC726" s="777"/>
      <c r="AD726" s="792"/>
      <c r="AE726" s="786"/>
    </row>
    <row r="727" spans="1:31" s="787" customFormat="1" ht="38.25" customHeight="1">
      <c r="A727" s="777"/>
      <c r="B727" s="777"/>
      <c r="C727" s="778" t="s">
        <v>146</v>
      </c>
      <c r="D727" s="778" t="s">
        <v>65</v>
      </c>
      <c r="E727" s="778" t="s">
        <v>161</v>
      </c>
      <c r="F727" s="778" t="s">
        <v>459</v>
      </c>
      <c r="G727" s="778" t="s">
        <v>196</v>
      </c>
      <c r="H727" s="1914"/>
      <c r="I727" s="780" t="s">
        <v>1174</v>
      </c>
      <c r="J727" s="781"/>
      <c r="K727" s="777"/>
      <c r="L727" s="782"/>
      <c r="M727" s="777"/>
      <c r="N727" s="782"/>
      <c r="O727" s="777"/>
      <c r="P727" s="782"/>
      <c r="Q727" s="777"/>
      <c r="R727" s="783"/>
      <c r="S727" s="777"/>
      <c r="T727" s="782"/>
      <c r="U727" s="777"/>
      <c r="V727" s="782"/>
      <c r="W727" s="779"/>
      <c r="X727" s="782"/>
      <c r="Y727" s="777"/>
      <c r="Z727" s="783"/>
      <c r="AA727" s="777"/>
      <c r="AB727" s="791"/>
      <c r="AC727" s="777"/>
      <c r="AD727" s="792"/>
      <c r="AE727" s="786"/>
    </row>
    <row r="728" spans="1:31" s="787" customFormat="1" ht="23.25" customHeight="1">
      <c r="A728" s="777"/>
      <c r="B728" s="777"/>
      <c r="C728" s="778" t="s">
        <v>146</v>
      </c>
      <c r="D728" s="778" t="s">
        <v>65</v>
      </c>
      <c r="E728" s="778" t="s">
        <v>161</v>
      </c>
      <c r="F728" s="778" t="s">
        <v>459</v>
      </c>
      <c r="G728" s="778" t="s">
        <v>95</v>
      </c>
      <c r="H728" s="1914"/>
      <c r="I728" s="780" t="s">
        <v>1175</v>
      </c>
      <c r="J728" s="781"/>
      <c r="K728" s="777"/>
      <c r="L728" s="782"/>
      <c r="M728" s="777"/>
      <c r="N728" s="782"/>
      <c r="O728" s="777"/>
      <c r="P728" s="782"/>
      <c r="Q728" s="777"/>
      <c r="R728" s="783"/>
      <c r="S728" s="777"/>
      <c r="T728" s="782"/>
      <c r="U728" s="777"/>
      <c r="V728" s="782"/>
      <c r="W728" s="779"/>
      <c r="X728" s="782"/>
      <c r="Y728" s="777"/>
      <c r="Z728" s="783"/>
      <c r="AA728" s="777"/>
      <c r="AB728" s="791"/>
      <c r="AC728" s="777"/>
      <c r="AD728" s="792"/>
      <c r="AE728" s="786"/>
    </row>
    <row r="729" spans="1:31" s="787" customFormat="1" ht="37.5" customHeight="1">
      <c r="A729" s="777"/>
      <c r="B729" s="777"/>
      <c r="C729" s="778" t="s">
        <v>146</v>
      </c>
      <c r="D729" s="778" t="s">
        <v>65</v>
      </c>
      <c r="E729" s="778" t="s">
        <v>161</v>
      </c>
      <c r="F729" s="778" t="s">
        <v>459</v>
      </c>
      <c r="G729" s="778" t="s">
        <v>161</v>
      </c>
      <c r="H729" s="1914"/>
      <c r="I729" s="780" t="s">
        <v>1176</v>
      </c>
      <c r="J729" s="781"/>
      <c r="K729" s="777"/>
      <c r="L729" s="782"/>
      <c r="M729" s="777"/>
      <c r="N729" s="782"/>
      <c r="O729" s="777"/>
      <c r="P729" s="782"/>
      <c r="Q729" s="777"/>
      <c r="R729" s="783"/>
      <c r="S729" s="777"/>
      <c r="T729" s="782"/>
      <c r="U729" s="777"/>
      <c r="V729" s="782"/>
      <c r="W729" s="779"/>
      <c r="X729" s="782"/>
      <c r="Y729" s="777"/>
      <c r="Z729" s="783"/>
      <c r="AA729" s="777"/>
      <c r="AB729" s="791"/>
      <c r="AC729" s="777"/>
      <c r="AD729" s="792"/>
      <c r="AE729" s="786"/>
    </row>
    <row r="730" spans="1:31" s="787" customFormat="1" ht="36.75" customHeight="1">
      <c r="A730" s="777"/>
      <c r="B730" s="777"/>
      <c r="C730" s="778" t="s">
        <v>146</v>
      </c>
      <c r="D730" s="778" t="s">
        <v>65</v>
      </c>
      <c r="E730" s="778" t="s">
        <v>161</v>
      </c>
      <c r="F730" s="778" t="s">
        <v>459</v>
      </c>
      <c r="G730" s="778" t="s">
        <v>202</v>
      </c>
      <c r="H730" s="1914"/>
      <c r="I730" s="780" t="s">
        <v>1177</v>
      </c>
      <c r="J730" s="781"/>
      <c r="K730" s="777"/>
      <c r="L730" s="782"/>
      <c r="M730" s="777"/>
      <c r="N730" s="782"/>
      <c r="O730" s="777"/>
      <c r="P730" s="782"/>
      <c r="Q730" s="777"/>
      <c r="R730" s="783"/>
      <c r="S730" s="777"/>
      <c r="T730" s="782"/>
      <c r="U730" s="777"/>
      <c r="V730" s="782"/>
      <c r="W730" s="779"/>
      <c r="X730" s="782"/>
      <c r="Y730" s="777"/>
      <c r="Z730" s="783"/>
      <c r="AA730" s="777"/>
      <c r="AB730" s="791"/>
      <c r="AC730" s="777"/>
      <c r="AD730" s="792"/>
      <c r="AE730" s="786"/>
    </row>
    <row r="731" spans="1:31" s="775" customFormat="1" ht="40.5" customHeight="1">
      <c r="A731" s="819"/>
      <c r="B731" s="819"/>
      <c r="C731" s="820" t="s">
        <v>146</v>
      </c>
      <c r="D731" s="820" t="s">
        <v>65</v>
      </c>
      <c r="E731" s="820" t="s">
        <v>161</v>
      </c>
      <c r="F731" s="820" t="s">
        <v>165</v>
      </c>
      <c r="G731" s="820"/>
      <c r="H731" s="844"/>
      <c r="I731" s="834" t="s">
        <v>1178</v>
      </c>
      <c r="J731" s="845"/>
      <c r="K731" s="819"/>
      <c r="L731" s="835"/>
      <c r="M731" s="819"/>
      <c r="N731" s="835"/>
      <c r="O731" s="819"/>
      <c r="P731" s="835"/>
      <c r="Q731" s="819"/>
      <c r="R731" s="837"/>
      <c r="S731" s="819"/>
      <c r="T731" s="835"/>
      <c r="U731" s="819"/>
      <c r="V731" s="835"/>
      <c r="W731" s="821"/>
      <c r="X731" s="835"/>
      <c r="Y731" s="819"/>
      <c r="Z731" s="837"/>
      <c r="AA731" s="819"/>
      <c r="AB731" s="842"/>
      <c r="AC731" s="819"/>
      <c r="AD731" s="830"/>
      <c r="AE731" s="846"/>
    </row>
    <row r="732" spans="1:31" s="787" customFormat="1" ht="57.75" customHeight="1">
      <c r="A732" s="777"/>
      <c r="B732" s="777"/>
      <c r="C732" s="778" t="s">
        <v>146</v>
      </c>
      <c r="D732" s="778" t="s">
        <v>65</v>
      </c>
      <c r="E732" s="778" t="s">
        <v>161</v>
      </c>
      <c r="F732" s="778" t="s">
        <v>165</v>
      </c>
      <c r="G732" s="778" t="s">
        <v>160</v>
      </c>
      <c r="H732" s="1914"/>
      <c r="I732" s="780" t="s">
        <v>1179</v>
      </c>
      <c r="J732" s="781"/>
      <c r="K732" s="777"/>
      <c r="L732" s="782"/>
      <c r="M732" s="777"/>
      <c r="N732" s="782"/>
      <c r="O732" s="777"/>
      <c r="P732" s="782"/>
      <c r="Q732" s="777"/>
      <c r="R732" s="783"/>
      <c r="S732" s="777"/>
      <c r="T732" s="782"/>
      <c r="U732" s="777"/>
      <c r="V732" s="782"/>
      <c r="W732" s="779"/>
      <c r="X732" s="782"/>
      <c r="Y732" s="777"/>
      <c r="Z732" s="783"/>
      <c r="AA732" s="777"/>
      <c r="AB732" s="791"/>
      <c r="AC732" s="777"/>
      <c r="AD732" s="792"/>
      <c r="AE732" s="786"/>
    </row>
    <row r="733" spans="1:31" s="775" customFormat="1" ht="25.5" hidden="1">
      <c r="A733" s="847"/>
      <c r="B733" s="847"/>
      <c r="C733" s="848" t="s">
        <v>146</v>
      </c>
      <c r="D733" s="848" t="s">
        <v>65</v>
      </c>
      <c r="E733" s="848" t="s">
        <v>197</v>
      </c>
      <c r="F733" s="848" t="s">
        <v>155</v>
      </c>
      <c r="G733" s="848"/>
      <c r="H733" s="849"/>
      <c r="I733" s="832" t="s">
        <v>1180</v>
      </c>
      <c r="J733" s="850"/>
      <c r="K733" s="847"/>
      <c r="L733" s="851"/>
      <c r="M733" s="847"/>
      <c r="N733" s="851">
        <v>0</v>
      </c>
      <c r="O733" s="847"/>
      <c r="P733" s="851"/>
      <c r="Q733" s="847"/>
      <c r="R733" s="852"/>
      <c r="S733" s="847"/>
      <c r="T733" s="851"/>
      <c r="U733" s="847"/>
      <c r="V733" s="851"/>
      <c r="W733" s="853"/>
      <c r="X733" s="851"/>
      <c r="Y733" s="847"/>
      <c r="Z733" s="852"/>
      <c r="AA733" s="847"/>
      <c r="AB733" s="791">
        <f t="shared" ref="AB733:AB736" si="185">Z733+N733</f>
        <v>0</v>
      </c>
      <c r="AC733" s="847"/>
      <c r="AD733" s="792" t="e">
        <f t="shared" ref="AD733:AD737" si="186">(AB733/L733)*100</f>
        <v>#DIV/0!</v>
      </c>
      <c r="AE733" s="846"/>
    </row>
    <row r="734" spans="1:31" s="787" customFormat="1" ht="25.5" hidden="1">
      <c r="A734" s="777"/>
      <c r="B734" s="777"/>
      <c r="C734" s="778" t="s">
        <v>146</v>
      </c>
      <c r="D734" s="778" t="s">
        <v>65</v>
      </c>
      <c r="E734" s="778" t="s">
        <v>197</v>
      </c>
      <c r="F734" s="778" t="s">
        <v>155</v>
      </c>
      <c r="G734" s="778" t="s">
        <v>93</v>
      </c>
      <c r="H734" s="1914"/>
      <c r="I734" s="780" t="s">
        <v>1181</v>
      </c>
      <c r="J734" s="781"/>
      <c r="K734" s="777"/>
      <c r="L734" s="782"/>
      <c r="M734" s="777"/>
      <c r="N734" s="782">
        <v>0</v>
      </c>
      <c r="O734" s="777"/>
      <c r="P734" s="782"/>
      <c r="Q734" s="777"/>
      <c r="R734" s="783"/>
      <c r="S734" s="777"/>
      <c r="T734" s="782"/>
      <c r="U734" s="777"/>
      <c r="V734" s="782"/>
      <c r="W734" s="779"/>
      <c r="X734" s="782"/>
      <c r="Y734" s="777"/>
      <c r="Z734" s="783"/>
      <c r="AA734" s="777"/>
      <c r="AB734" s="791">
        <f t="shared" si="185"/>
        <v>0</v>
      </c>
      <c r="AC734" s="777"/>
      <c r="AD734" s="792" t="e">
        <f t="shared" si="186"/>
        <v>#DIV/0!</v>
      </c>
      <c r="AE734" s="786"/>
    </row>
    <row r="735" spans="1:31" s="787" customFormat="1" hidden="1">
      <c r="A735" s="777"/>
      <c r="B735" s="777"/>
      <c r="C735" s="778" t="s">
        <v>146</v>
      </c>
      <c r="D735" s="778" t="s">
        <v>65</v>
      </c>
      <c r="E735" s="778" t="s">
        <v>197</v>
      </c>
      <c r="F735" s="778" t="s">
        <v>155</v>
      </c>
      <c r="G735" s="778" t="s">
        <v>167</v>
      </c>
      <c r="H735" s="1914"/>
      <c r="I735" s="780" t="s">
        <v>1182</v>
      </c>
      <c r="J735" s="781"/>
      <c r="K735" s="777"/>
      <c r="L735" s="782"/>
      <c r="M735" s="777"/>
      <c r="N735" s="782">
        <v>0</v>
      </c>
      <c r="O735" s="777"/>
      <c r="P735" s="782"/>
      <c r="Q735" s="777"/>
      <c r="R735" s="783"/>
      <c r="S735" s="777"/>
      <c r="T735" s="782"/>
      <c r="U735" s="777"/>
      <c r="V735" s="782"/>
      <c r="W735" s="779"/>
      <c r="X735" s="782"/>
      <c r="Y735" s="777"/>
      <c r="Z735" s="783"/>
      <c r="AA735" s="777"/>
      <c r="AB735" s="791">
        <f t="shared" si="185"/>
        <v>0</v>
      </c>
      <c r="AC735" s="777"/>
      <c r="AD735" s="792" t="e">
        <f t="shared" si="186"/>
        <v>#DIV/0!</v>
      </c>
      <c r="AE735" s="786"/>
    </row>
    <row r="736" spans="1:31" s="787" customFormat="1" hidden="1">
      <c r="A736" s="777"/>
      <c r="B736" s="777"/>
      <c r="C736" s="778"/>
      <c r="D736" s="778"/>
      <c r="E736" s="778"/>
      <c r="F736" s="778"/>
      <c r="G736" s="778"/>
      <c r="H736" s="1914"/>
      <c r="I736" s="780"/>
      <c r="J736" s="781"/>
      <c r="K736" s="777"/>
      <c r="L736" s="782"/>
      <c r="M736" s="777"/>
      <c r="N736" s="782">
        <v>974329232</v>
      </c>
      <c r="O736" s="777"/>
      <c r="P736" s="782"/>
      <c r="Q736" s="777"/>
      <c r="R736" s="783"/>
      <c r="S736" s="777"/>
      <c r="T736" s="782"/>
      <c r="U736" s="777"/>
      <c r="V736" s="782"/>
      <c r="W736" s="779"/>
      <c r="X736" s="782"/>
      <c r="Y736" s="777"/>
      <c r="Z736" s="783"/>
      <c r="AA736" s="777"/>
      <c r="AB736" s="791">
        <f t="shared" si="185"/>
        <v>974329232</v>
      </c>
      <c r="AC736" s="777"/>
      <c r="AD736" s="792" t="e">
        <f t="shared" si="186"/>
        <v>#DIV/0!</v>
      </c>
      <c r="AE736" s="786"/>
    </row>
    <row r="737" spans="1:31" s="787" customFormat="1" ht="28.5" customHeight="1" thickBot="1">
      <c r="A737" s="898" t="s">
        <v>607</v>
      </c>
      <c r="B737" s="899"/>
      <c r="C737" s="899"/>
      <c r="D737" s="899"/>
      <c r="E737" s="899"/>
      <c r="F737" s="899"/>
      <c r="G737" s="900"/>
      <c r="H737" s="901"/>
      <c r="I737" s="902"/>
      <c r="J737" s="903"/>
      <c r="K737" s="904">
        <v>1</v>
      </c>
      <c r="L737" s="905">
        <f>L651+L649+L635+L616+L714+L688+L662+L654</f>
        <v>11482000000</v>
      </c>
      <c r="M737" s="906">
        <f>+N737/L737</f>
        <v>0.39468830247343667</v>
      </c>
      <c r="N737" s="905">
        <f>+N654+N662+N688+N714+N719+N725+N616+N635+N649+N651</f>
        <v>4531811089</v>
      </c>
      <c r="O737" s="907">
        <f>+P737/L737</f>
        <v>0.2412243480229925</v>
      </c>
      <c r="P737" s="905">
        <f>+P654+P662+P688+P714+P719+P725+P616+P635+P649+P651</f>
        <v>2769737964</v>
      </c>
      <c r="Q737" s="907">
        <f>+R737/P737</f>
        <v>0.18638716684030693</v>
      </c>
      <c r="R737" s="905">
        <f>+R654+R662+R688+R714+R719+R725+R616+R635+R649+R651</f>
        <v>516243612</v>
      </c>
      <c r="S737" s="908"/>
      <c r="T737" s="905"/>
      <c r="U737" s="908"/>
      <c r="V737" s="905"/>
      <c r="W737" s="909"/>
      <c r="X737" s="905"/>
      <c r="Y737" s="910">
        <f>+Z737/P737</f>
        <v>0.18638716684030693</v>
      </c>
      <c r="Z737" s="905">
        <f>+Z654+Z662+Z688+Z714+Z719+Z725+Z616+Z635+Z649+Z651</f>
        <v>516243612</v>
      </c>
      <c r="AA737" s="906"/>
      <c r="AB737" s="905">
        <f>+AB654+AB662+AB688+AB714+AB719+AB725+AB616+AB635+AB649+AB651</f>
        <v>5048054701</v>
      </c>
      <c r="AC737" s="906"/>
      <c r="AD737" s="911">
        <f t="shared" si="186"/>
        <v>43.964942527434246</v>
      </c>
      <c r="AE737" s="786"/>
    </row>
    <row r="738" spans="1:31" s="918" customFormat="1" ht="28.5" customHeight="1" thickBot="1">
      <c r="A738" s="912" t="s">
        <v>1230</v>
      </c>
      <c r="B738" s="913"/>
      <c r="C738" s="913"/>
      <c r="D738" s="913"/>
      <c r="E738" s="913"/>
      <c r="F738" s="913"/>
      <c r="G738" s="913"/>
      <c r="H738" s="913"/>
      <c r="I738" s="913"/>
      <c r="J738" s="913"/>
      <c r="K738" s="913" t="s">
        <v>1231</v>
      </c>
      <c r="L738" s="913"/>
      <c r="M738" s="913"/>
      <c r="N738" s="913"/>
      <c r="O738" s="913"/>
      <c r="P738" s="914"/>
      <c r="Q738" s="1915"/>
      <c r="R738" s="915"/>
      <c r="S738" s="1915"/>
      <c r="T738" s="916"/>
      <c r="U738" s="1915"/>
      <c r="V738" s="916"/>
      <c r="W738" s="917"/>
      <c r="X738" s="916"/>
      <c r="Y738" s="917"/>
      <c r="Z738" s="916"/>
      <c r="AA738" s="2476"/>
      <c r="AB738" s="2476"/>
      <c r="AC738" s="2476"/>
      <c r="AD738" s="2476"/>
      <c r="AE738" s="2476"/>
    </row>
    <row r="739" spans="1:31" ht="22.5" customHeight="1">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382"/>
      <c r="Z739" s="56"/>
      <c r="AA739" s="56"/>
      <c r="AB739" s="56"/>
      <c r="AC739" s="56"/>
      <c r="AD739" s="56"/>
      <c r="AE739" s="56"/>
    </row>
    <row r="740" spans="1:31" s="69" customFormat="1" ht="38.25">
      <c r="A740" s="67">
        <v>12</v>
      </c>
      <c r="B740" s="67"/>
      <c r="C740" s="67"/>
      <c r="D740" s="67"/>
      <c r="E740" s="67"/>
      <c r="F740" s="67"/>
      <c r="G740" s="67"/>
      <c r="H740" s="67"/>
      <c r="I740" s="68" t="s">
        <v>139</v>
      </c>
      <c r="J740" s="67"/>
      <c r="K740" s="67"/>
      <c r="L740" s="67"/>
      <c r="M740" s="67"/>
      <c r="N740" s="67"/>
      <c r="O740" s="67"/>
      <c r="P740" s="67"/>
      <c r="Q740" s="67"/>
      <c r="R740" s="67"/>
      <c r="S740" s="67"/>
      <c r="T740" s="67"/>
      <c r="U740" s="67"/>
      <c r="V740" s="67"/>
      <c r="W740" s="67"/>
      <c r="X740" s="67"/>
      <c r="Y740" s="366"/>
      <c r="Z740" s="67"/>
      <c r="AA740" s="67"/>
      <c r="AB740" s="67"/>
      <c r="AC740" s="67"/>
      <c r="AD740" s="67"/>
      <c r="AE740" s="67"/>
    </row>
    <row r="741" spans="1:31" s="1412" customFormat="1" ht="63" customHeight="1">
      <c r="A741" s="341">
        <v>1</v>
      </c>
      <c r="B741" s="341"/>
      <c r="C741" s="368">
        <v>3</v>
      </c>
      <c r="D741" s="368" t="s">
        <v>107</v>
      </c>
      <c r="E741" s="368" t="s">
        <v>65</v>
      </c>
      <c r="F741" s="368" t="s">
        <v>66</v>
      </c>
      <c r="G741" s="368" t="s">
        <v>67</v>
      </c>
      <c r="H741" s="341"/>
      <c r="I741" s="344" t="s">
        <v>2179</v>
      </c>
      <c r="J741" s="1406" t="s">
        <v>2180</v>
      </c>
      <c r="K741" s="341" t="s">
        <v>2181</v>
      </c>
      <c r="L741" s="1407">
        <f>SUM(L742:L762)</f>
        <v>19739500</v>
      </c>
      <c r="M741" s="341" t="s">
        <v>2182</v>
      </c>
      <c r="N741" s="1407">
        <f>SUM(N742:N762)</f>
        <v>3085749.71</v>
      </c>
      <c r="O741" s="1408" t="s">
        <v>2183</v>
      </c>
      <c r="P741" s="1407">
        <f>SUM(P742:P762)</f>
        <v>6746242.9100000001</v>
      </c>
      <c r="Q741" s="1409"/>
      <c r="R741" s="1410">
        <f>SUM(R742:R761)</f>
        <v>269305.81000000006</v>
      </c>
      <c r="S741" s="1409"/>
      <c r="T741" s="1407">
        <f>SUM(T742:T761)</f>
        <v>0</v>
      </c>
      <c r="U741" s="1409"/>
      <c r="V741" s="1407">
        <f>SUM(V742:V761)</f>
        <v>0</v>
      </c>
      <c r="W741" s="1409"/>
      <c r="X741" s="1407">
        <f>SUM(X742:X761)</f>
        <v>0</v>
      </c>
      <c r="Y741" s="1409"/>
      <c r="Z741" s="1410">
        <f>SUM(Z742:Z762)</f>
        <v>269305.81000000006</v>
      </c>
      <c r="AA741" s="1409"/>
      <c r="AB741" s="1407">
        <f>N741+Z741</f>
        <v>3355055.52</v>
      </c>
      <c r="AC741" s="1411">
        <f>AVERAGE(AC742:AC762)</f>
        <v>39.9681813240324</v>
      </c>
      <c r="AD741" s="1411">
        <f>(AB741/L741)*100</f>
        <v>16.99665908457661</v>
      </c>
      <c r="AE741" s="341"/>
    </row>
    <row r="742" spans="1:31" s="1429" customFormat="1" ht="63.75">
      <c r="A742" s="1413"/>
      <c r="B742" s="1414" t="s">
        <v>2184</v>
      </c>
      <c r="C742" s="1415">
        <v>3</v>
      </c>
      <c r="D742" s="1415" t="s">
        <v>107</v>
      </c>
      <c r="E742" s="1416" t="s">
        <v>65</v>
      </c>
      <c r="F742" s="1415" t="s">
        <v>66</v>
      </c>
      <c r="G742" s="1415" t="s">
        <v>67</v>
      </c>
      <c r="H742" s="1415" t="s">
        <v>68</v>
      </c>
      <c r="I742" s="1918" t="s">
        <v>2185</v>
      </c>
      <c r="J742" s="1417" t="s">
        <v>2186</v>
      </c>
      <c r="K742" s="1418">
        <v>180000</v>
      </c>
      <c r="L742" s="1419">
        <v>500000</v>
      </c>
      <c r="M742" s="1420">
        <v>120000</v>
      </c>
      <c r="N742" s="1421">
        <v>343143.48</v>
      </c>
      <c r="O742" s="1422">
        <v>123000</v>
      </c>
      <c r="P742" s="1423">
        <v>257284.7</v>
      </c>
      <c r="Q742" s="1424">
        <f>O742/3</f>
        <v>41000</v>
      </c>
      <c r="R742" s="1425">
        <v>14579</v>
      </c>
      <c r="S742" s="1413"/>
      <c r="T742" s="1419"/>
      <c r="U742" s="1413"/>
      <c r="V742" s="1419"/>
      <c r="W742" s="1413"/>
      <c r="X742" s="1419"/>
      <c r="Y742" s="1419">
        <f>Q742+S742+U742+W742</f>
        <v>41000</v>
      </c>
      <c r="Z742" s="1425">
        <f>R742+T742+V742+X742</f>
        <v>14579</v>
      </c>
      <c r="AA742" s="1419">
        <f>M742+Y742</f>
        <v>161000</v>
      </c>
      <c r="AB742" s="1419">
        <f>N742+Z742</f>
        <v>357722.48</v>
      </c>
      <c r="AC742" s="1426">
        <f>(AA742/K742)*100</f>
        <v>89.444444444444443</v>
      </c>
      <c r="AD742" s="1427">
        <f>(AB742/L742)*100</f>
        <v>71.544495999999995</v>
      </c>
      <c r="AE742" s="1428" t="s">
        <v>2187</v>
      </c>
    </row>
    <row r="743" spans="1:31" s="1445" customFormat="1" ht="45" customHeight="1">
      <c r="A743" s="1917"/>
      <c r="B743" s="2378" t="s">
        <v>2184</v>
      </c>
      <c r="C743" s="1430">
        <v>3</v>
      </c>
      <c r="D743" s="1430" t="s">
        <v>107</v>
      </c>
      <c r="E743" s="1431" t="s">
        <v>65</v>
      </c>
      <c r="F743" s="1430" t="s">
        <v>66</v>
      </c>
      <c r="G743" s="1430" t="s">
        <v>67</v>
      </c>
      <c r="H743" s="1430">
        <v>42</v>
      </c>
      <c r="I743" s="2378" t="s">
        <v>2188</v>
      </c>
      <c r="J743" s="1432" t="s">
        <v>2189</v>
      </c>
      <c r="K743" s="1433">
        <v>105124</v>
      </c>
      <c r="L743" s="1434">
        <v>300000</v>
      </c>
      <c r="M743" s="1434">
        <v>74535</v>
      </c>
      <c r="N743" s="1435">
        <v>120659</v>
      </c>
      <c r="O743" s="1436">
        <v>102200</v>
      </c>
      <c r="P743" s="1437">
        <v>72259</v>
      </c>
      <c r="Q743" s="1438">
        <f>O743/4</f>
        <v>25550</v>
      </c>
      <c r="R743" s="1439">
        <v>7510</v>
      </c>
      <c r="S743" s="1917"/>
      <c r="T743" s="1434"/>
      <c r="U743" s="1917"/>
      <c r="V743" s="1434"/>
      <c r="W743" s="1917"/>
      <c r="X743" s="1434"/>
      <c r="Y743" s="1440">
        <f t="shared" ref="Y743:Z780" si="187">Q743+S743+U743+W743</f>
        <v>25550</v>
      </c>
      <c r="Z743" s="1441">
        <f t="shared" si="187"/>
        <v>7510</v>
      </c>
      <c r="AA743" s="1440">
        <f t="shared" ref="AA743:AB780" si="188">M743+Y743</f>
        <v>100085</v>
      </c>
      <c r="AB743" s="1440">
        <f t="shared" si="188"/>
        <v>128169</v>
      </c>
      <c r="AC743" s="1442">
        <f t="shared" ref="AC743:AD780" si="189">(AA743/K743)*100</f>
        <v>95.206613142574483</v>
      </c>
      <c r="AD743" s="1443">
        <f t="shared" si="189"/>
        <v>42.722999999999999</v>
      </c>
      <c r="AE743" s="1444" t="s">
        <v>2187</v>
      </c>
    </row>
    <row r="744" spans="1:31" s="1453" customFormat="1" ht="25.5">
      <c r="A744" s="1918"/>
      <c r="B744" s="2379"/>
      <c r="C744" s="1415"/>
      <c r="D744" s="1415"/>
      <c r="E744" s="1446"/>
      <c r="F744" s="1415"/>
      <c r="G744" s="1415"/>
      <c r="H744" s="1415"/>
      <c r="I744" s="2379"/>
      <c r="J744" s="1417" t="s">
        <v>2190</v>
      </c>
      <c r="K744" s="1447">
        <v>61363</v>
      </c>
      <c r="L744" s="1448"/>
      <c r="M744" s="1448">
        <v>39183</v>
      </c>
      <c r="N744" s="1448"/>
      <c r="O744" s="1449">
        <v>58363</v>
      </c>
      <c r="P744" s="1450"/>
      <c r="Q744" s="1451">
        <f>O744/4</f>
        <v>14590.75</v>
      </c>
      <c r="R744" s="1452"/>
      <c r="S744" s="1918"/>
      <c r="T744" s="1448"/>
      <c r="U744" s="1918"/>
      <c r="V744" s="1448"/>
      <c r="W744" s="1918"/>
      <c r="X744" s="1448"/>
      <c r="Y744" s="1419">
        <f t="shared" si="187"/>
        <v>14590.75</v>
      </c>
      <c r="Z744" s="1425">
        <f t="shared" si="187"/>
        <v>0</v>
      </c>
      <c r="AA744" s="1440">
        <f t="shared" si="188"/>
        <v>53773.75</v>
      </c>
      <c r="AB744" s="1440">
        <f t="shared" si="188"/>
        <v>0</v>
      </c>
      <c r="AC744" s="1426">
        <f t="shared" si="189"/>
        <v>87.632205074719295</v>
      </c>
      <c r="AD744" s="1427"/>
      <c r="AE744" s="1428"/>
    </row>
    <row r="745" spans="1:31" s="1429" customFormat="1" ht="63.75">
      <c r="A745" s="1454"/>
      <c r="B745" s="1414" t="s">
        <v>2191</v>
      </c>
      <c r="C745" s="1415">
        <v>3</v>
      </c>
      <c r="D745" s="1415" t="s">
        <v>107</v>
      </c>
      <c r="E745" s="1416" t="s">
        <v>65</v>
      </c>
      <c r="F745" s="1415" t="s">
        <v>66</v>
      </c>
      <c r="G745" s="1415" t="s">
        <v>67</v>
      </c>
      <c r="H745" s="1415">
        <v>13</v>
      </c>
      <c r="I745" s="1414" t="s">
        <v>2192</v>
      </c>
      <c r="J745" s="1455" t="s">
        <v>2193</v>
      </c>
      <c r="K745" s="1456">
        <v>118</v>
      </c>
      <c r="L745" s="1457">
        <v>650000</v>
      </c>
      <c r="M745" s="1414">
        <v>22</v>
      </c>
      <c r="N745" s="1458">
        <v>123146.5</v>
      </c>
      <c r="O745" s="1459">
        <v>24</v>
      </c>
      <c r="P745" s="1423">
        <v>67165.8</v>
      </c>
      <c r="Q745" s="1414">
        <v>2</v>
      </c>
      <c r="R745" s="1460">
        <v>4836</v>
      </c>
      <c r="S745" s="1414"/>
      <c r="T745" s="1457"/>
      <c r="U745" s="1414"/>
      <c r="V745" s="1457"/>
      <c r="W745" s="1414"/>
      <c r="X745" s="1457"/>
      <c r="Y745" s="1419">
        <f t="shared" si="187"/>
        <v>2</v>
      </c>
      <c r="Z745" s="1425">
        <f t="shared" si="187"/>
        <v>4836</v>
      </c>
      <c r="AA745" s="1461">
        <f t="shared" si="188"/>
        <v>24</v>
      </c>
      <c r="AB745" s="1461">
        <f t="shared" si="188"/>
        <v>127982.5</v>
      </c>
      <c r="AC745" s="1426">
        <f t="shared" si="189"/>
        <v>20.33898305084746</v>
      </c>
      <c r="AD745" s="1427">
        <f t="shared" si="189"/>
        <v>19.689615384615387</v>
      </c>
      <c r="AE745" s="1462" t="s">
        <v>2187</v>
      </c>
    </row>
    <row r="746" spans="1:31" s="1429" customFormat="1" ht="63.75">
      <c r="A746" s="1454"/>
      <c r="B746" s="1414" t="s">
        <v>2191</v>
      </c>
      <c r="C746" s="1415"/>
      <c r="D746" s="1415"/>
      <c r="E746" s="1416"/>
      <c r="F746" s="1415"/>
      <c r="G746" s="1415"/>
      <c r="H746" s="1415"/>
      <c r="I746" s="1414" t="s">
        <v>2194</v>
      </c>
      <c r="J746" s="1455" t="s">
        <v>2195</v>
      </c>
      <c r="K746" s="1456">
        <v>165648</v>
      </c>
      <c r="L746" s="1457">
        <v>600000</v>
      </c>
      <c r="M746" s="1457">
        <v>158250</v>
      </c>
      <c r="N746" s="1458">
        <v>188191.1</v>
      </c>
      <c r="O746" s="1459">
        <v>146820</v>
      </c>
      <c r="P746" s="1423">
        <v>147598.9</v>
      </c>
      <c r="Q746" s="1457">
        <v>5492</v>
      </c>
      <c r="R746" s="1460">
        <v>22860.75</v>
      </c>
      <c r="S746" s="1414"/>
      <c r="T746" s="1457"/>
      <c r="U746" s="1414"/>
      <c r="V746" s="1457"/>
      <c r="W746" s="1414"/>
      <c r="X746" s="1457"/>
      <c r="Y746" s="1419">
        <f t="shared" si="187"/>
        <v>5492</v>
      </c>
      <c r="Z746" s="1425">
        <f t="shared" si="187"/>
        <v>22860.75</v>
      </c>
      <c r="AA746" s="1419">
        <f t="shared" si="188"/>
        <v>163742</v>
      </c>
      <c r="AB746" s="1440">
        <f t="shared" si="188"/>
        <v>211051.85</v>
      </c>
      <c r="AC746" s="1426">
        <f t="shared" si="189"/>
        <v>98.849367333140151</v>
      </c>
      <c r="AD746" s="1427">
        <f t="shared" si="189"/>
        <v>35.175308333333334</v>
      </c>
      <c r="AE746" s="1462" t="s">
        <v>2187</v>
      </c>
    </row>
    <row r="747" spans="1:31" s="1429" customFormat="1" ht="51">
      <c r="A747" s="1454"/>
      <c r="B747" s="1414" t="s">
        <v>2196</v>
      </c>
      <c r="C747" s="1415"/>
      <c r="D747" s="1415"/>
      <c r="E747" s="1416"/>
      <c r="F747" s="1415"/>
      <c r="G747" s="1415"/>
      <c r="H747" s="1415"/>
      <c r="I747" s="1414" t="s">
        <v>2197</v>
      </c>
      <c r="J747" s="1455" t="s">
        <v>2198</v>
      </c>
      <c r="K747" s="1456">
        <v>31</v>
      </c>
      <c r="L747" s="1457">
        <v>175000</v>
      </c>
      <c r="M747" s="1457">
        <v>0</v>
      </c>
      <c r="N747" s="1458">
        <v>844.1</v>
      </c>
      <c r="O747" s="1459">
        <v>15</v>
      </c>
      <c r="P747" s="1463">
        <v>32095.96</v>
      </c>
      <c r="Q747" s="1457">
        <v>0</v>
      </c>
      <c r="R747" s="1460">
        <v>0</v>
      </c>
      <c r="S747" s="1414"/>
      <c r="T747" s="1457"/>
      <c r="U747" s="1414"/>
      <c r="V747" s="1457"/>
      <c r="W747" s="1414"/>
      <c r="X747" s="1457"/>
      <c r="Y747" s="1419">
        <f t="shared" si="187"/>
        <v>0</v>
      </c>
      <c r="Z747" s="1425">
        <f t="shared" si="187"/>
        <v>0</v>
      </c>
      <c r="AA747" s="1419">
        <f t="shared" si="188"/>
        <v>0</v>
      </c>
      <c r="AB747" s="1461">
        <f t="shared" si="188"/>
        <v>844.1</v>
      </c>
      <c r="AC747" s="1426">
        <f t="shared" si="189"/>
        <v>0</v>
      </c>
      <c r="AD747" s="1427">
        <f t="shared" si="189"/>
        <v>0.48234285714285713</v>
      </c>
      <c r="AE747" s="1462" t="s">
        <v>2187</v>
      </c>
    </row>
    <row r="748" spans="1:31" s="1429" customFormat="1" ht="48.75" customHeight="1">
      <c r="A748" s="1464"/>
      <c r="B748" s="2378" t="s">
        <v>2196</v>
      </c>
      <c r="C748" s="1430"/>
      <c r="D748" s="1430"/>
      <c r="E748" s="1431"/>
      <c r="F748" s="1430"/>
      <c r="G748" s="1430"/>
      <c r="H748" s="1430"/>
      <c r="I748" s="2378" t="s">
        <v>2199</v>
      </c>
      <c r="J748" s="1432" t="s">
        <v>2200</v>
      </c>
      <c r="K748" s="1433">
        <v>5</v>
      </c>
      <c r="L748" s="1434">
        <v>422500</v>
      </c>
      <c r="M748" s="1434">
        <v>0</v>
      </c>
      <c r="N748" s="1435">
        <v>84430.22</v>
      </c>
      <c r="O748" s="1436">
        <v>2</v>
      </c>
      <c r="P748" s="1437">
        <v>70811.3</v>
      </c>
      <c r="Q748" s="1434">
        <v>0</v>
      </c>
      <c r="R748" s="1439">
        <v>1491</v>
      </c>
      <c r="S748" s="1917"/>
      <c r="T748" s="1434"/>
      <c r="U748" s="1917"/>
      <c r="V748" s="1434"/>
      <c r="W748" s="1917"/>
      <c r="X748" s="1434"/>
      <c r="Y748" s="1440">
        <f t="shared" si="187"/>
        <v>0</v>
      </c>
      <c r="Z748" s="1441">
        <f t="shared" si="187"/>
        <v>1491</v>
      </c>
      <c r="AA748" s="1440">
        <f t="shared" si="188"/>
        <v>0</v>
      </c>
      <c r="AB748" s="1465">
        <f t="shared" si="188"/>
        <v>85921.22</v>
      </c>
      <c r="AC748" s="1442">
        <f t="shared" si="189"/>
        <v>0</v>
      </c>
      <c r="AD748" s="1443">
        <f t="shared" si="189"/>
        <v>20.336383431952662</v>
      </c>
      <c r="AE748" s="1444" t="s">
        <v>2187</v>
      </c>
    </row>
    <row r="749" spans="1:31" s="1467" customFormat="1" ht="38.25">
      <c r="A749" s="1413"/>
      <c r="B749" s="2379"/>
      <c r="C749" s="1415"/>
      <c r="D749" s="1415"/>
      <c r="E749" s="1446"/>
      <c r="F749" s="1415"/>
      <c r="G749" s="1415"/>
      <c r="H749" s="1415"/>
      <c r="I749" s="2379"/>
      <c r="J749" s="1417" t="s">
        <v>2201</v>
      </c>
      <c r="K749" s="1447">
        <v>12</v>
      </c>
      <c r="L749" s="1448"/>
      <c r="M749" s="1448">
        <v>0</v>
      </c>
      <c r="N749" s="1466"/>
      <c r="O749" s="1449">
        <v>8</v>
      </c>
      <c r="P749" s="1450"/>
      <c r="Q749" s="1448">
        <v>0</v>
      </c>
      <c r="R749" s="1452">
        <v>0</v>
      </c>
      <c r="S749" s="1918"/>
      <c r="T749" s="1448"/>
      <c r="U749" s="1918"/>
      <c r="V749" s="1448"/>
      <c r="W749" s="1918"/>
      <c r="X749" s="1448"/>
      <c r="Y749" s="1419">
        <f t="shared" si="187"/>
        <v>0</v>
      </c>
      <c r="Z749" s="1425">
        <f t="shared" si="187"/>
        <v>0</v>
      </c>
      <c r="AA749" s="1419">
        <f t="shared" si="188"/>
        <v>0</v>
      </c>
      <c r="AB749" s="1419">
        <f t="shared" si="188"/>
        <v>0</v>
      </c>
      <c r="AC749" s="1426">
        <f t="shared" si="189"/>
        <v>0</v>
      </c>
      <c r="AD749" s="1427"/>
      <c r="AE749" s="1428"/>
    </row>
    <row r="750" spans="1:31" s="1429" customFormat="1" ht="63.75">
      <c r="A750" s="1454"/>
      <c r="B750" s="1414" t="s">
        <v>2191</v>
      </c>
      <c r="C750" s="1415"/>
      <c r="D750" s="1415"/>
      <c r="E750" s="1416"/>
      <c r="F750" s="1415"/>
      <c r="G750" s="1415"/>
      <c r="H750" s="1415"/>
      <c r="I750" s="1414" t="s">
        <v>2202</v>
      </c>
      <c r="J750" s="1455" t="s">
        <v>2203</v>
      </c>
      <c r="K750" s="1456">
        <v>19667</v>
      </c>
      <c r="L750" s="1457">
        <v>230000</v>
      </c>
      <c r="M750" s="1414">
        <v>1024</v>
      </c>
      <c r="N750" s="1458">
        <v>20559</v>
      </c>
      <c r="O750" s="1459">
        <v>5300</v>
      </c>
      <c r="P750" s="1463">
        <v>52150.75</v>
      </c>
      <c r="Q750" s="1457">
        <f>M750+2571</f>
        <v>3595</v>
      </c>
      <c r="R750" s="1460">
        <v>8650</v>
      </c>
      <c r="S750" s="1414"/>
      <c r="T750" s="1457"/>
      <c r="U750" s="1414"/>
      <c r="V750" s="1457"/>
      <c r="W750" s="1414"/>
      <c r="X750" s="1457"/>
      <c r="Y750" s="1419">
        <f t="shared" si="187"/>
        <v>3595</v>
      </c>
      <c r="Z750" s="1425">
        <f t="shared" si="187"/>
        <v>8650</v>
      </c>
      <c r="AA750" s="1419">
        <f t="shared" si="188"/>
        <v>4619</v>
      </c>
      <c r="AB750" s="1440">
        <f t="shared" si="188"/>
        <v>29209</v>
      </c>
      <c r="AC750" s="1426">
        <f t="shared" si="189"/>
        <v>23.486042609447296</v>
      </c>
      <c r="AD750" s="1427">
        <f t="shared" si="189"/>
        <v>12.699565217391303</v>
      </c>
      <c r="AE750" s="1462" t="s">
        <v>2187</v>
      </c>
    </row>
    <row r="751" spans="1:31" s="1429" customFormat="1" ht="44.25" customHeight="1">
      <c r="A751" s="1464"/>
      <c r="B751" s="1917" t="s">
        <v>2191</v>
      </c>
      <c r="C751" s="1430"/>
      <c r="D751" s="1430"/>
      <c r="E751" s="1431"/>
      <c r="F751" s="1430"/>
      <c r="G751" s="1430"/>
      <c r="H751" s="1430"/>
      <c r="I751" s="2378" t="s">
        <v>2204</v>
      </c>
      <c r="J751" s="1432" t="s">
        <v>2205</v>
      </c>
      <c r="K751" s="1433">
        <v>142026</v>
      </c>
      <c r="L751" s="1434">
        <v>505000</v>
      </c>
      <c r="M751" s="1434">
        <v>62979</v>
      </c>
      <c r="N751" s="1435">
        <v>130170.8</v>
      </c>
      <c r="O751" s="1436">
        <v>139953</v>
      </c>
      <c r="P751" s="1437">
        <v>101274.5</v>
      </c>
      <c r="Q751" s="1438">
        <v>15129</v>
      </c>
      <c r="R751" s="1439">
        <v>14371.8</v>
      </c>
      <c r="S751" s="1917"/>
      <c r="T751" s="1434"/>
      <c r="U751" s="1917"/>
      <c r="V751" s="1434"/>
      <c r="W751" s="1917"/>
      <c r="X751" s="1434"/>
      <c r="Y751" s="1440">
        <f t="shared" si="187"/>
        <v>15129</v>
      </c>
      <c r="Z751" s="1441">
        <f t="shared" si="187"/>
        <v>14371.8</v>
      </c>
      <c r="AA751" s="1440">
        <f t="shared" si="188"/>
        <v>78108</v>
      </c>
      <c r="AB751" s="1465">
        <f t="shared" si="188"/>
        <v>144542.6</v>
      </c>
      <c r="AC751" s="1442">
        <f t="shared" si="189"/>
        <v>54.995564192471804</v>
      </c>
      <c r="AD751" s="1443">
        <f t="shared" si="189"/>
        <v>28.62229702970297</v>
      </c>
      <c r="AE751" s="1444" t="s">
        <v>2187</v>
      </c>
    </row>
    <row r="752" spans="1:31" s="1467" customFormat="1" ht="51">
      <c r="A752" s="1413"/>
      <c r="B752" s="1918"/>
      <c r="C752" s="1415"/>
      <c r="D752" s="1415"/>
      <c r="E752" s="1446"/>
      <c r="F752" s="1415"/>
      <c r="G752" s="1415"/>
      <c r="H752" s="1415"/>
      <c r="I752" s="2379"/>
      <c r="J752" s="1417" t="s">
        <v>2206</v>
      </c>
      <c r="K752" s="1447">
        <v>12240</v>
      </c>
      <c r="L752" s="1448"/>
      <c r="M752" s="1448">
        <v>11471</v>
      </c>
      <c r="N752" s="1466"/>
      <c r="O752" s="1449">
        <v>11750</v>
      </c>
      <c r="P752" s="1450"/>
      <c r="Q752" s="1451">
        <v>2877</v>
      </c>
      <c r="R752" s="1452"/>
      <c r="S752" s="1918"/>
      <c r="T752" s="1448"/>
      <c r="U752" s="1918"/>
      <c r="V752" s="1448"/>
      <c r="W752" s="1918"/>
      <c r="X752" s="1448"/>
      <c r="Y752" s="1419">
        <f t="shared" si="187"/>
        <v>2877</v>
      </c>
      <c r="Z752" s="1425">
        <f t="shared" si="187"/>
        <v>0</v>
      </c>
      <c r="AA752" s="1419">
        <f t="shared" si="188"/>
        <v>14348</v>
      </c>
      <c r="AB752" s="1419">
        <f t="shared" si="188"/>
        <v>0</v>
      </c>
      <c r="AC752" s="1426">
        <f t="shared" si="189"/>
        <v>117.22222222222223</v>
      </c>
      <c r="AD752" s="1427"/>
      <c r="AE752" s="1428"/>
    </row>
    <row r="753" spans="1:31" s="1429" customFormat="1" ht="63.75">
      <c r="A753" s="1454"/>
      <c r="B753" s="1414" t="s">
        <v>2191</v>
      </c>
      <c r="C753" s="1415"/>
      <c r="D753" s="1415"/>
      <c r="E753" s="1416"/>
      <c r="F753" s="1415"/>
      <c r="G753" s="1415"/>
      <c r="H753" s="1415"/>
      <c r="I753" s="1414" t="s">
        <v>2207</v>
      </c>
      <c r="J753" s="1455" t="s">
        <v>2208</v>
      </c>
      <c r="K753" s="1456">
        <v>324436</v>
      </c>
      <c r="L753" s="1457">
        <v>1500000</v>
      </c>
      <c r="M753" s="1457">
        <v>305045</v>
      </c>
      <c r="N753" s="1458">
        <v>528586.66</v>
      </c>
      <c r="O753" s="1459">
        <v>324026</v>
      </c>
      <c r="P753" s="1423">
        <v>138576.20000000001</v>
      </c>
      <c r="Q753" s="1468">
        <v>3546</v>
      </c>
      <c r="R753" s="1460">
        <v>22331.91</v>
      </c>
      <c r="S753" s="1414"/>
      <c r="T753" s="1457"/>
      <c r="U753" s="1414"/>
      <c r="V753" s="1457"/>
      <c r="W753" s="1414"/>
      <c r="X753" s="1457"/>
      <c r="Y753" s="1419">
        <f t="shared" si="187"/>
        <v>3546</v>
      </c>
      <c r="Z753" s="1425">
        <f t="shared" si="187"/>
        <v>22331.91</v>
      </c>
      <c r="AA753" s="1419">
        <f t="shared" si="188"/>
        <v>308591</v>
      </c>
      <c r="AB753" s="1440">
        <f t="shared" si="188"/>
        <v>550918.57000000007</v>
      </c>
      <c r="AC753" s="1426">
        <f t="shared" si="189"/>
        <v>95.116140009123527</v>
      </c>
      <c r="AD753" s="1427">
        <f t="shared" si="189"/>
        <v>36.727904666666674</v>
      </c>
      <c r="AE753" s="1462" t="s">
        <v>2187</v>
      </c>
    </row>
    <row r="754" spans="1:31" s="1429" customFormat="1" ht="51">
      <c r="A754" s="1454"/>
      <c r="B754" s="1414" t="s">
        <v>2196</v>
      </c>
      <c r="C754" s="1415"/>
      <c r="D754" s="1415"/>
      <c r="E754" s="1416"/>
      <c r="F754" s="1415"/>
      <c r="G754" s="1415"/>
      <c r="H754" s="1415"/>
      <c r="I754" s="1414" t="s">
        <v>2209</v>
      </c>
      <c r="J754" s="1455" t="s">
        <v>2210</v>
      </c>
      <c r="K754" s="1456">
        <v>250</v>
      </c>
      <c r="L754" s="1457">
        <v>1750000</v>
      </c>
      <c r="M754" s="1414">
        <v>50</v>
      </c>
      <c r="N754" s="1460">
        <v>296856.95</v>
      </c>
      <c r="O754" s="1459">
        <v>50</v>
      </c>
      <c r="P754" s="1423">
        <v>168925</v>
      </c>
      <c r="Q754" s="1414">
        <v>15</v>
      </c>
      <c r="R754" s="1460">
        <v>57235.25</v>
      </c>
      <c r="S754" s="1414"/>
      <c r="T754" s="1457"/>
      <c r="U754" s="1414"/>
      <c r="V754" s="1457"/>
      <c r="W754" s="1414"/>
      <c r="X754" s="1457"/>
      <c r="Y754" s="1419">
        <f t="shared" si="187"/>
        <v>15</v>
      </c>
      <c r="Z754" s="1425">
        <f t="shared" si="187"/>
        <v>57235.25</v>
      </c>
      <c r="AA754" s="1419">
        <f t="shared" si="188"/>
        <v>65</v>
      </c>
      <c r="AB754" s="1461">
        <f t="shared" si="188"/>
        <v>354092.2</v>
      </c>
      <c r="AC754" s="1426">
        <f t="shared" si="189"/>
        <v>26</v>
      </c>
      <c r="AD754" s="1427">
        <f t="shared" si="189"/>
        <v>20.233840000000001</v>
      </c>
      <c r="AE754" s="1462" t="s">
        <v>2187</v>
      </c>
    </row>
    <row r="755" spans="1:31" s="1429" customFormat="1" ht="63.75">
      <c r="A755" s="1454"/>
      <c r="B755" s="1414" t="s">
        <v>2191</v>
      </c>
      <c r="C755" s="1415"/>
      <c r="D755" s="1415"/>
      <c r="E755" s="1416"/>
      <c r="F755" s="1415"/>
      <c r="G755" s="1415"/>
      <c r="H755" s="1415"/>
      <c r="I755" s="1414" t="s">
        <v>2211</v>
      </c>
      <c r="J755" s="1455" t="s">
        <v>2212</v>
      </c>
      <c r="K755" s="1456">
        <v>1500</v>
      </c>
      <c r="L755" s="1457">
        <v>300000</v>
      </c>
      <c r="M755" s="1457">
        <v>0</v>
      </c>
      <c r="N755" s="1460">
        <v>0</v>
      </c>
      <c r="O755" s="1459">
        <v>800</v>
      </c>
      <c r="P755" s="1423">
        <v>35790.199999999997</v>
      </c>
      <c r="Q755" s="1414">
        <v>199</v>
      </c>
      <c r="R755" s="1460">
        <v>3015.5</v>
      </c>
      <c r="S755" s="1414"/>
      <c r="T755" s="1457"/>
      <c r="U755" s="1414"/>
      <c r="V755" s="1457"/>
      <c r="W755" s="1414"/>
      <c r="X755" s="1457"/>
      <c r="Y755" s="1419">
        <f t="shared" si="187"/>
        <v>199</v>
      </c>
      <c r="Z755" s="1425">
        <f t="shared" si="187"/>
        <v>3015.5</v>
      </c>
      <c r="AA755" s="1419">
        <f t="shared" si="188"/>
        <v>199</v>
      </c>
      <c r="AB755" s="1440">
        <f t="shared" si="188"/>
        <v>3015.5</v>
      </c>
      <c r="AC755" s="1426">
        <f t="shared" si="189"/>
        <v>13.266666666666666</v>
      </c>
      <c r="AD755" s="1427">
        <f t="shared" si="189"/>
        <v>1.0051666666666668</v>
      </c>
      <c r="AE755" s="1462" t="s">
        <v>2187</v>
      </c>
    </row>
    <row r="756" spans="1:31" s="1429" customFormat="1" ht="63.75">
      <c r="A756" s="1454"/>
      <c r="B756" s="1414" t="s">
        <v>2191</v>
      </c>
      <c r="C756" s="1415"/>
      <c r="D756" s="1415"/>
      <c r="E756" s="1416"/>
      <c r="F756" s="1415"/>
      <c r="G756" s="1415"/>
      <c r="H756" s="1415"/>
      <c r="I756" s="1414" t="s">
        <v>2213</v>
      </c>
      <c r="J756" s="1455" t="s">
        <v>2214</v>
      </c>
      <c r="K756" s="1456">
        <v>60</v>
      </c>
      <c r="L756" s="1457">
        <v>300000</v>
      </c>
      <c r="M756" s="1457">
        <v>0</v>
      </c>
      <c r="N756" s="1460">
        <v>0</v>
      </c>
      <c r="O756" s="1459">
        <v>12</v>
      </c>
      <c r="P756" s="1423">
        <v>26568.5</v>
      </c>
      <c r="Q756" s="1457">
        <v>2</v>
      </c>
      <c r="R756" s="1460">
        <v>2685.5</v>
      </c>
      <c r="S756" s="1414"/>
      <c r="T756" s="1457"/>
      <c r="U756" s="1414"/>
      <c r="V756" s="1457"/>
      <c r="W756" s="1414"/>
      <c r="X756" s="1457"/>
      <c r="Y756" s="1419">
        <f t="shared" si="187"/>
        <v>2</v>
      </c>
      <c r="Z756" s="1425">
        <f t="shared" si="187"/>
        <v>2685.5</v>
      </c>
      <c r="AA756" s="1419">
        <f t="shared" si="188"/>
        <v>2</v>
      </c>
      <c r="AB756" s="1461">
        <f t="shared" si="188"/>
        <v>2685.5</v>
      </c>
      <c r="AC756" s="1426">
        <f t="shared" si="189"/>
        <v>3.3333333333333335</v>
      </c>
      <c r="AD756" s="1427">
        <f t="shared" si="189"/>
        <v>0.89516666666666667</v>
      </c>
      <c r="AE756" s="1462" t="s">
        <v>2187</v>
      </c>
    </row>
    <row r="757" spans="1:31" s="1429" customFormat="1" ht="36" customHeight="1">
      <c r="A757" s="1464"/>
      <c r="B757" s="2378" t="s">
        <v>2196</v>
      </c>
      <c r="C757" s="1430"/>
      <c r="D757" s="1430"/>
      <c r="E757" s="1431"/>
      <c r="F757" s="1430"/>
      <c r="G757" s="1430"/>
      <c r="H757" s="1430"/>
      <c r="I757" s="2378" t="s">
        <v>2215</v>
      </c>
      <c r="J757" s="1432" t="s">
        <v>2216</v>
      </c>
      <c r="K757" s="1433">
        <v>2500</v>
      </c>
      <c r="L757" s="1434">
        <v>350000</v>
      </c>
      <c r="M757" s="1434">
        <v>0</v>
      </c>
      <c r="N757" s="1439">
        <v>0</v>
      </c>
      <c r="O757" s="1436">
        <v>1000</v>
      </c>
      <c r="P757" s="1437">
        <v>89849.7</v>
      </c>
      <c r="Q757" s="1434">
        <v>0</v>
      </c>
      <c r="R757" s="1439">
        <v>5000</v>
      </c>
      <c r="S757" s="1917"/>
      <c r="T757" s="1434"/>
      <c r="U757" s="1917"/>
      <c r="V757" s="1434"/>
      <c r="W757" s="1917"/>
      <c r="X757" s="1434"/>
      <c r="Y757" s="1440">
        <f t="shared" si="187"/>
        <v>0</v>
      </c>
      <c r="Z757" s="1441">
        <f t="shared" si="187"/>
        <v>5000</v>
      </c>
      <c r="AA757" s="1440">
        <f t="shared" si="188"/>
        <v>0</v>
      </c>
      <c r="AB757" s="1440">
        <f t="shared" si="188"/>
        <v>5000</v>
      </c>
      <c r="AC757" s="1442">
        <f t="shared" si="189"/>
        <v>0</v>
      </c>
      <c r="AD757" s="1443">
        <f t="shared" si="189"/>
        <v>1.4285714285714286</v>
      </c>
      <c r="AE757" s="1444" t="s">
        <v>2187</v>
      </c>
    </row>
    <row r="758" spans="1:31" s="1467" customFormat="1" ht="63.75">
      <c r="A758" s="1413"/>
      <c r="B758" s="2379"/>
      <c r="C758" s="1415"/>
      <c r="D758" s="1415"/>
      <c r="E758" s="1446"/>
      <c r="F758" s="1415"/>
      <c r="G758" s="1415"/>
      <c r="H758" s="1415"/>
      <c r="I758" s="2379"/>
      <c r="J758" s="1417" t="s">
        <v>2217</v>
      </c>
      <c r="K758" s="1447">
        <v>4000</v>
      </c>
      <c r="L758" s="1448"/>
      <c r="M758" s="1448">
        <v>0</v>
      </c>
      <c r="N758" s="1452">
        <v>0</v>
      </c>
      <c r="O758" s="1449">
        <v>2000</v>
      </c>
      <c r="P758" s="1450"/>
      <c r="Q758" s="1448">
        <v>0</v>
      </c>
      <c r="R758" s="1452"/>
      <c r="S758" s="1918"/>
      <c r="T758" s="1448"/>
      <c r="U758" s="1918"/>
      <c r="V758" s="1448"/>
      <c r="W758" s="1918"/>
      <c r="X758" s="1448"/>
      <c r="Y758" s="1419">
        <f t="shared" si="187"/>
        <v>0</v>
      </c>
      <c r="Z758" s="1425">
        <f t="shared" si="187"/>
        <v>0</v>
      </c>
      <c r="AA758" s="1419">
        <f t="shared" si="188"/>
        <v>0</v>
      </c>
      <c r="AB758" s="1440">
        <f t="shared" si="188"/>
        <v>0</v>
      </c>
      <c r="AC758" s="1426">
        <f t="shared" si="189"/>
        <v>0</v>
      </c>
      <c r="AD758" s="1427"/>
      <c r="AE758" s="1428"/>
    </row>
    <row r="759" spans="1:31" s="1429" customFormat="1" ht="63.75">
      <c r="A759" s="1454"/>
      <c r="B759" s="1414" t="s">
        <v>2191</v>
      </c>
      <c r="C759" s="1415"/>
      <c r="D759" s="1415"/>
      <c r="E759" s="1416"/>
      <c r="F759" s="1415"/>
      <c r="G759" s="1415"/>
      <c r="H759" s="1415"/>
      <c r="I759" s="1414" t="s">
        <v>2218</v>
      </c>
      <c r="J759" s="1455" t="s">
        <v>2219</v>
      </c>
      <c r="K759" s="1456">
        <v>145000</v>
      </c>
      <c r="L759" s="1457">
        <v>357000</v>
      </c>
      <c r="M759" s="1457">
        <v>0</v>
      </c>
      <c r="N759" s="1460">
        <v>0</v>
      </c>
      <c r="O759" s="1459">
        <v>100000</v>
      </c>
      <c r="P759" s="1423">
        <v>71520.100000000006</v>
      </c>
      <c r="Q759" s="1457">
        <v>18039</v>
      </c>
      <c r="R759" s="1460">
        <v>4526.5</v>
      </c>
      <c r="S759" s="1414"/>
      <c r="T759" s="1457"/>
      <c r="U759" s="1414"/>
      <c r="V759" s="1457"/>
      <c r="W759" s="1414"/>
      <c r="X759" s="1457"/>
      <c r="Y759" s="1419">
        <f t="shared" si="187"/>
        <v>18039</v>
      </c>
      <c r="Z759" s="1425">
        <f t="shared" si="187"/>
        <v>4526.5</v>
      </c>
      <c r="AA759" s="1419">
        <f t="shared" si="188"/>
        <v>18039</v>
      </c>
      <c r="AB759" s="1461">
        <f t="shared" si="188"/>
        <v>4526.5</v>
      </c>
      <c r="AC759" s="1426">
        <f t="shared" si="189"/>
        <v>12.440689655172415</v>
      </c>
      <c r="AD759" s="1427">
        <f t="shared" si="189"/>
        <v>1.2679271708683473</v>
      </c>
      <c r="AE759" s="1462" t="s">
        <v>2187</v>
      </c>
    </row>
    <row r="760" spans="1:31" s="1429" customFormat="1" ht="90" customHeight="1">
      <c r="A760" s="1464"/>
      <c r="B760" s="1469" t="s">
        <v>2196</v>
      </c>
      <c r="C760" s="1430"/>
      <c r="D760" s="1430"/>
      <c r="E760" s="1431"/>
      <c r="F760" s="1430"/>
      <c r="G760" s="1430"/>
      <c r="H760" s="1430"/>
      <c r="I760" s="1917" t="s">
        <v>2220</v>
      </c>
      <c r="J760" s="1432" t="s">
        <v>2221</v>
      </c>
      <c r="K760" s="1433">
        <v>10777500</v>
      </c>
      <c r="L760" s="1434">
        <v>6500000</v>
      </c>
      <c r="M760" s="1434">
        <v>215500</v>
      </c>
      <c r="N760" s="1439">
        <v>1249161.8999999999</v>
      </c>
      <c r="O760" s="1436">
        <v>215500</v>
      </c>
      <c r="P760" s="1423">
        <v>1353364</v>
      </c>
      <c r="Q760" s="1434">
        <v>0</v>
      </c>
      <c r="R760" s="1439">
        <v>14737.6</v>
      </c>
      <c r="S760" s="1917"/>
      <c r="T760" s="1434"/>
      <c r="U760" s="1917"/>
      <c r="V760" s="1434"/>
      <c r="W760" s="1917"/>
      <c r="X760" s="1434"/>
      <c r="Y760" s="1419">
        <f t="shared" si="187"/>
        <v>0</v>
      </c>
      <c r="Z760" s="1425">
        <f t="shared" si="187"/>
        <v>14737.6</v>
      </c>
      <c r="AA760" s="1419">
        <f t="shared" si="188"/>
        <v>215500</v>
      </c>
      <c r="AB760" s="1440">
        <f t="shared" si="188"/>
        <v>1263899.5</v>
      </c>
      <c r="AC760" s="1426">
        <f t="shared" si="189"/>
        <v>1.9995360705172813</v>
      </c>
      <c r="AD760" s="1427">
        <f t="shared" si="189"/>
        <v>19.444607692307692</v>
      </c>
      <c r="AE760" s="1444" t="s">
        <v>2187</v>
      </c>
    </row>
    <row r="761" spans="1:31" s="1429" customFormat="1" ht="34.5" customHeight="1">
      <c r="A761" s="1464"/>
      <c r="B761" s="2378" t="s">
        <v>2196</v>
      </c>
      <c r="C761" s="1470"/>
      <c r="D761" s="1470"/>
      <c r="E761" s="1431"/>
      <c r="F761" s="1470"/>
      <c r="G761" s="1470"/>
      <c r="H761" s="1470"/>
      <c r="I761" s="2378" t="s">
        <v>2222</v>
      </c>
      <c r="J761" s="1432" t="s">
        <v>2223</v>
      </c>
      <c r="K761" s="1433">
        <v>15</v>
      </c>
      <c r="L761" s="1434">
        <v>5300000</v>
      </c>
      <c r="M761" s="1434">
        <v>0</v>
      </c>
      <c r="N761" s="1439">
        <v>0</v>
      </c>
      <c r="O761" s="1436">
        <v>15</v>
      </c>
      <c r="P761" s="1437">
        <v>4061008.3</v>
      </c>
      <c r="Q761" s="1917">
        <v>15</v>
      </c>
      <c r="R761" s="1439">
        <v>85475</v>
      </c>
      <c r="S761" s="1917"/>
      <c r="T761" s="1434"/>
      <c r="U761" s="1917"/>
      <c r="V761" s="1434"/>
      <c r="W761" s="1917"/>
      <c r="X761" s="1434"/>
      <c r="Y761" s="1440">
        <f t="shared" si="187"/>
        <v>15</v>
      </c>
      <c r="Z761" s="1441">
        <f t="shared" si="187"/>
        <v>85475</v>
      </c>
      <c r="AA761" s="1440">
        <f t="shared" si="188"/>
        <v>15</v>
      </c>
      <c r="AB761" s="1465">
        <f t="shared" si="188"/>
        <v>85475</v>
      </c>
      <c r="AC761" s="1442">
        <f t="shared" si="189"/>
        <v>100</v>
      </c>
      <c r="AD761" s="1443">
        <f t="shared" si="189"/>
        <v>1.6127358490566037</v>
      </c>
      <c r="AE761" s="1444" t="s">
        <v>2187</v>
      </c>
    </row>
    <row r="762" spans="1:31" s="1467" customFormat="1" ht="38.25">
      <c r="A762" s="1413"/>
      <c r="B762" s="2379"/>
      <c r="C762" s="1415"/>
      <c r="D762" s="1415"/>
      <c r="E762" s="1446"/>
      <c r="F762" s="1415"/>
      <c r="G762" s="1415"/>
      <c r="H762" s="1415"/>
      <c r="I762" s="2379"/>
      <c r="J762" s="1417" t="s">
        <v>2224</v>
      </c>
      <c r="K762" s="1447">
        <v>662</v>
      </c>
      <c r="L762" s="1448"/>
      <c r="M762" s="1448">
        <v>0</v>
      </c>
      <c r="N762" s="1452">
        <v>0</v>
      </c>
      <c r="O762" s="1449">
        <v>662</v>
      </c>
      <c r="P762" s="1450"/>
      <c r="Q762" s="1448">
        <v>0</v>
      </c>
      <c r="R762" s="1452"/>
      <c r="S762" s="1918"/>
      <c r="T762" s="1448"/>
      <c r="U762" s="1918"/>
      <c r="V762" s="1448"/>
      <c r="W762" s="1918"/>
      <c r="X762" s="1448"/>
      <c r="Y762" s="1419">
        <f t="shared" si="187"/>
        <v>0</v>
      </c>
      <c r="Z762" s="1425">
        <f t="shared" si="187"/>
        <v>0</v>
      </c>
      <c r="AA762" s="1419"/>
      <c r="AB762" s="1419">
        <f t="shared" si="188"/>
        <v>0</v>
      </c>
      <c r="AC762" s="1426">
        <f t="shared" si="189"/>
        <v>0</v>
      </c>
      <c r="AD762" s="1427"/>
      <c r="AE762" s="1428"/>
    </row>
    <row r="763" spans="1:31" s="1412" customFormat="1" ht="51">
      <c r="A763" s="341">
        <v>2</v>
      </c>
      <c r="B763" s="341"/>
      <c r="C763" s="368">
        <v>3</v>
      </c>
      <c r="D763" s="368" t="s">
        <v>107</v>
      </c>
      <c r="E763" s="368" t="s">
        <v>65</v>
      </c>
      <c r="F763" s="368" t="s">
        <v>66</v>
      </c>
      <c r="G763" s="368">
        <v>26</v>
      </c>
      <c r="H763" s="341"/>
      <c r="I763" s="344" t="s">
        <v>221</v>
      </c>
      <c r="J763" s="1471" t="s">
        <v>2225</v>
      </c>
      <c r="K763" s="1409">
        <v>100</v>
      </c>
      <c r="L763" s="1407">
        <f>SUM(L764:L775)</f>
        <v>4990000</v>
      </c>
      <c r="M763" s="1409">
        <v>80</v>
      </c>
      <c r="N763" s="1407">
        <f>SUM(N764:N775)</f>
        <v>663838.48</v>
      </c>
      <c r="O763" s="1408">
        <v>85</v>
      </c>
      <c r="P763" s="1407">
        <f>SUM(P764:P775)</f>
        <v>519072.85000000003</v>
      </c>
      <c r="Q763" s="1409">
        <v>1</v>
      </c>
      <c r="R763" s="1410">
        <f>SUM(R764:R775)</f>
        <v>140348.61000000002</v>
      </c>
      <c r="S763" s="1409"/>
      <c r="T763" s="1409"/>
      <c r="U763" s="1409"/>
      <c r="V763" s="1409"/>
      <c r="W763" s="1409"/>
      <c r="X763" s="1409"/>
      <c r="Y763" s="1472">
        <f t="shared" si="187"/>
        <v>1</v>
      </c>
      <c r="Z763" s="1473">
        <f t="shared" si="187"/>
        <v>140348.61000000002</v>
      </c>
      <c r="AA763" s="1472">
        <f>M763+Y763</f>
        <v>81</v>
      </c>
      <c r="AB763" s="1474">
        <f>N763+Z763</f>
        <v>804187.09</v>
      </c>
      <c r="AC763" s="1475">
        <f>(AA763/K763)*100</f>
        <v>81</v>
      </c>
      <c r="AD763" s="1476">
        <f t="shared" si="189"/>
        <v>16.115973747494987</v>
      </c>
      <c r="AE763" s="341" t="s">
        <v>2187</v>
      </c>
    </row>
    <row r="764" spans="1:31" s="1483" customFormat="1" ht="38.25">
      <c r="A764" s="1477"/>
      <c r="B764" s="1478"/>
      <c r="C764" s="1446"/>
      <c r="D764" s="1446"/>
      <c r="E764" s="1416"/>
      <c r="F764" s="1446"/>
      <c r="G764" s="1446"/>
      <c r="H764" s="1477"/>
      <c r="I764" s="732" t="s">
        <v>147</v>
      </c>
      <c r="J764" s="1479" t="s">
        <v>2226</v>
      </c>
      <c r="K764" s="1480">
        <v>60</v>
      </c>
      <c r="L764" s="1472">
        <v>350000</v>
      </c>
      <c r="M764" s="1480">
        <v>12</v>
      </c>
      <c r="N764" s="1473">
        <v>61465.9</v>
      </c>
      <c r="O764" s="1481">
        <v>12</v>
      </c>
      <c r="P764" s="1472">
        <v>61200</v>
      </c>
      <c r="Q764" s="1480">
        <v>3</v>
      </c>
      <c r="R764" s="1482">
        <v>17197.41</v>
      </c>
      <c r="S764" s="1480"/>
      <c r="T764" s="1480"/>
      <c r="U764" s="1480"/>
      <c r="V764" s="1480"/>
      <c r="W764" s="1480"/>
      <c r="X764" s="1480"/>
      <c r="Y764" s="1419">
        <f t="shared" si="187"/>
        <v>3</v>
      </c>
      <c r="Z764" s="1425">
        <f t="shared" si="187"/>
        <v>17197.41</v>
      </c>
      <c r="AA764" s="1419">
        <f t="shared" si="188"/>
        <v>15</v>
      </c>
      <c r="AB764" s="1461">
        <f t="shared" si="188"/>
        <v>78663.31</v>
      </c>
      <c r="AC764" s="1426">
        <f t="shared" si="189"/>
        <v>25</v>
      </c>
      <c r="AD764" s="1427">
        <f t="shared" si="189"/>
        <v>22.475231428571426</v>
      </c>
      <c r="AE764" s="1477" t="s">
        <v>2187</v>
      </c>
    </row>
    <row r="765" spans="1:31" s="1483" customFormat="1" ht="38.25">
      <c r="A765" s="1477"/>
      <c r="B765" s="1484"/>
      <c r="C765" s="1446"/>
      <c r="D765" s="1446"/>
      <c r="E765" s="1416"/>
      <c r="F765" s="1446"/>
      <c r="G765" s="1446"/>
      <c r="H765" s="1477"/>
      <c r="I765" s="732" t="s">
        <v>1287</v>
      </c>
      <c r="J765" s="1479" t="s">
        <v>2227</v>
      </c>
      <c r="K765" s="1480">
        <v>60</v>
      </c>
      <c r="L765" s="1472">
        <v>750000</v>
      </c>
      <c r="M765" s="1480">
        <v>12</v>
      </c>
      <c r="N765" s="1473">
        <v>56041</v>
      </c>
      <c r="O765" s="1481">
        <v>12</v>
      </c>
      <c r="P765" s="1472">
        <v>126800</v>
      </c>
      <c r="Q765" s="1480">
        <v>3</v>
      </c>
      <c r="R765" s="1482">
        <v>25700</v>
      </c>
      <c r="S765" s="1480"/>
      <c r="T765" s="1480"/>
      <c r="U765" s="1480"/>
      <c r="V765" s="1480"/>
      <c r="W765" s="1480"/>
      <c r="X765" s="1480"/>
      <c r="Y765" s="1419">
        <f t="shared" si="187"/>
        <v>3</v>
      </c>
      <c r="Z765" s="1425">
        <f t="shared" si="187"/>
        <v>25700</v>
      </c>
      <c r="AA765" s="1419">
        <f t="shared" si="188"/>
        <v>15</v>
      </c>
      <c r="AB765" s="1440">
        <f t="shared" si="188"/>
        <v>81741</v>
      </c>
      <c r="AC765" s="1426">
        <f t="shared" si="189"/>
        <v>25</v>
      </c>
      <c r="AD765" s="1427">
        <f t="shared" si="189"/>
        <v>10.8988</v>
      </c>
      <c r="AE765" s="1477" t="s">
        <v>2187</v>
      </c>
    </row>
    <row r="766" spans="1:31" s="1483" customFormat="1" ht="38.25">
      <c r="A766" s="1477"/>
      <c r="B766" s="1484"/>
      <c r="C766" s="1446"/>
      <c r="D766" s="1446"/>
      <c r="E766" s="1416"/>
      <c r="F766" s="1446"/>
      <c r="G766" s="1446"/>
      <c r="H766" s="1477"/>
      <c r="I766" s="732" t="s">
        <v>149</v>
      </c>
      <c r="J766" s="1479" t="s">
        <v>2228</v>
      </c>
      <c r="K766" s="1480">
        <v>20</v>
      </c>
      <c r="L766" s="1472">
        <v>225000</v>
      </c>
      <c r="M766" s="1480">
        <v>6</v>
      </c>
      <c r="N766" s="1473">
        <v>25929.1</v>
      </c>
      <c r="O766" s="1481">
        <v>8</v>
      </c>
      <c r="P766" s="1450">
        <v>31735.200000000001</v>
      </c>
      <c r="Q766" s="1480">
        <v>2</v>
      </c>
      <c r="R766" s="1482">
        <v>3207.6</v>
      </c>
      <c r="S766" s="1480"/>
      <c r="T766" s="1480"/>
      <c r="U766" s="1480"/>
      <c r="V766" s="1480"/>
      <c r="W766" s="1480"/>
      <c r="X766" s="1480"/>
      <c r="Y766" s="1419">
        <f t="shared" si="187"/>
        <v>2</v>
      </c>
      <c r="Z766" s="1425">
        <f t="shared" si="187"/>
        <v>3207.6</v>
      </c>
      <c r="AA766" s="1419">
        <f t="shared" si="188"/>
        <v>8</v>
      </c>
      <c r="AB766" s="1461">
        <f t="shared" si="188"/>
        <v>29136.699999999997</v>
      </c>
      <c r="AC766" s="1426">
        <f t="shared" si="189"/>
        <v>40</v>
      </c>
      <c r="AD766" s="1427">
        <f t="shared" si="189"/>
        <v>12.949644444444445</v>
      </c>
      <c r="AE766" s="1477" t="s">
        <v>2187</v>
      </c>
    </row>
    <row r="767" spans="1:31" s="1483" customFormat="1" ht="38.25">
      <c r="A767" s="1484"/>
      <c r="B767" s="1484"/>
      <c r="C767" s="1416"/>
      <c r="D767" s="1416"/>
      <c r="E767" s="1416"/>
      <c r="F767" s="1416"/>
      <c r="G767" s="1416"/>
      <c r="H767" s="1484"/>
      <c r="I767" s="741" t="s">
        <v>1410</v>
      </c>
      <c r="J767" s="1485" t="s">
        <v>2229</v>
      </c>
      <c r="K767" s="1486">
        <v>35</v>
      </c>
      <c r="L767" s="1487">
        <v>125000</v>
      </c>
      <c r="M767" s="1486">
        <v>10</v>
      </c>
      <c r="N767" s="1463">
        <v>19999.5</v>
      </c>
      <c r="O767" s="1488">
        <v>20</v>
      </c>
      <c r="P767" s="1423">
        <v>4500</v>
      </c>
      <c r="Q767" s="1486">
        <v>7</v>
      </c>
      <c r="R767" s="1489">
        <v>1060</v>
      </c>
      <c r="S767" s="1486"/>
      <c r="T767" s="1486"/>
      <c r="U767" s="1486"/>
      <c r="V767" s="1486"/>
      <c r="W767" s="1486"/>
      <c r="X767" s="1486"/>
      <c r="Y767" s="1419">
        <f t="shared" si="187"/>
        <v>7</v>
      </c>
      <c r="Z767" s="1425">
        <f t="shared" si="187"/>
        <v>1060</v>
      </c>
      <c r="AA767" s="1419">
        <f t="shared" si="188"/>
        <v>17</v>
      </c>
      <c r="AB767" s="1440">
        <f t="shared" si="188"/>
        <v>21059.5</v>
      </c>
      <c r="AC767" s="1426">
        <f t="shared" si="189"/>
        <v>48.571428571428569</v>
      </c>
      <c r="AD767" s="1427">
        <f t="shared" si="189"/>
        <v>16.8476</v>
      </c>
      <c r="AE767" s="1484" t="s">
        <v>2187</v>
      </c>
    </row>
    <row r="768" spans="1:31" s="1483" customFormat="1" ht="25.5">
      <c r="A768" s="1477"/>
      <c r="B768" s="1484"/>
      <c r="C768" s="1446"/>
      <c r="D768" s="1446"/>
      <c r="E768" s="1416"/>
      <c r="F768" s="1446"/>
      <c r="G768" s="1446"/>
      <c r="H768" s="1477"/>
      <c r="I768" s="732" t="s">
        <v>150</v>
      </c>
      <c r="J768" s="1479" t="s">
        <v>2230</v>
      </c>
      <c r="K768" s="1480">
        <v>3000</v>
      </c>
      <c r="L768" s="1472">
        <v>220000</v>
      </c>
      <c r="M768" s="1480">
        <v>400</v>
      </c>
      <c r="N768" s="1473">
        <v>32742</v>
      </c>
      <c r="O768" s="1481">
        <v>571</v>
      </c>
      <c r="P768" s="1450">
        <v>31800</v>
      </c>
      <c r="Q768" s="1480">
        <v>571</v>
      </c>
      <c r="R768" s="1482">
        <v>2082.5</v>
      </c>
      <c r="S768" s="1480"/>
      <c r="T768" s="1480"/>
      <c r="U768" s="1480"/>
      <c r="V768" s="1480"/>
      <c r="W768" s="1480"/>
      <c r="X768" s="1480"/>
      <c r="Y768" s="1419">
        <f t="shared" si="187"/>
        <v>571</v>
      </c>
      <c r="Z768" s="1425">
        <f t="shared" si="187"/>
        <v>2082.5</v>
      </c>
      <c r="AA768" s="1419">
        <f t="shared" si="188"/>
        <v>971</v>
      </c>
      <c r="AB768" s="1461">
        <f t="shared" si="188"/>
        <v>34824.5</v>
      </c>
      <c r="AC768" s="1426">
        <f t="shared" si="189"/>
        <v>32.366666666666667</v>
      </c>
      <c r="AD768" s="1427">
        <f t="shared" si="189"/>
        <v>15.829318181818181</v>
      </c>
      <c r="AE768" s="1477" t="s">
        <v>2187</v>
      </c>
    </row>
    <row r="769" spans="1:31" s="1483" customFormat="1" ht="38.25">
      <c r="A769" s="1477"/>
      <c r="B769" s="1484"/>
      <c r="C769" s="1446"/>
      <c r="D769" s="1446"/>
      <c r="E769" s="1416"/>
      <c r="F769" s="1446"/>
      <c r="G769" s="1446"/>
      <c r="H769" s="1477"/>
      <c r="I769" s="732" t="s">
        <v>151</v>
      </c>
      <c r="J769" s="1479" t="s">
        <v>2231</v>
      </c>
      <c r="K769" s="1480">
        <v>890</v>
      </c>
      <c r="L769" s="1472">
        <v>120000</v>
      </c>
      <c r="M769" s="1480">
        <v>150</v>
      </c>
      <c r="N769" s="1473">
        <v>18901.900000000001</v>
      </c>
      <c r="O769" s="1481">
        <v>178</v>
      </c>
      <c r="P769" s="1450">
        <v>20200</v>
      </c>
      <c r="Q769" s="1480">
        <v>3</v>
      </c>
      <c r="R769" s="1482">
        <v>0</v>
      </c>
      <c r="S769" s="1480"/>
      <c r="T769" s="1480"/>
      <c r="U769" s="1480"/>
      <c r="V769" s="1480"/>
      <c r="W769" s="1480"/>
      <c r="X769" s="1480"/>
      <c r="Y769" s="1419">
        <f t="shared" si="187"/>
        <v>3</v>
      </c>
      <c r="Z769" s="1425">
        <f t="shared" si="187"/>
        <v>0</v>
      </c>
      <c r="AA769" s="1419">
        <f t="shared" si="188"/>
        <v>153</v>
      </c>
      <c r="AB769" s="1440">
        <f t="shared" si="188"/>
        <v>18901.900000000001</v>
      </c>
      <c r="AC769" s="1426">
        <f t="shared" si="189"/>
        <v>17.191011235955056</v>
      </c>
      <c r="AD769" s="1427">
        <f t="shared" si="189"/>
        <v>15.751583333333336</v>
      </c>
      <c r="AE769" s="1477" t="s">
        <v>2187</v>
      </c>
    </row>
    <row r="770" spans="1:31" s="1483" customFormat="1" ht="38.25">
      <c r="A770" s="1477"/>
      <c r="B770" s="1484"/>
      <c r="C770" s="1446"/>
      <c r="D770" s="1446"/>
      <c r="E770" s="1416"/>
      <c r="F770" s="1446"/>
      <c r="G770" s="1446"/>
      <c r="H770" s="1477"/>
      <c r="I770" s="732" t="s">
        <v>152</v>
      </c>
      <c r="J770" s="1479" t="s">
        <v>2232</v>
      </c>
      <c r="K770" s="1480">
        <v>250</v>
      </c>
      <c r="L770" s="1472">
        <v>100000</v>
      </c>
      <c r="M770" s="1480">
        <v>50</v>
      </c>
      <c r="N770" s="1473">
        <v>22069</v>
      </c>
      <c r="O770" s="1481">
        <v>69</v>
      </c>
      <c r="P770" s="1473">
        <v>7910.15</v>
      </c>
      <c r="Q770" s="1480">
        <v>8</v>
      </c>
      <c r="R770" s="1482">
        <v>553</v>
      </c>
      <c r="S770" s="1480"/>
      <c r="T770" s="1480"/>
      <c r="U770" s="1480"/>
      <c r="V770" s="1480"/>
      <c r="W770" s="1480"/>
      <c r="X770" s="1480"/>
      <c r="Y770" s="1419">
        <f t="shared" si="187"/>
        <v>8</v>
      </c>
      <c r="Z770" s="1425">
        <f t="shared" si="187"/>
        <v>553</v>
      </c>
      <c r="AA770" s="1419">
        <f t="shared" si="188"/>
        <v>58</v>
      </c>
      <c r="AB770" s="1461">
        <f t="shared" si="188"/>
        <v>22622</v>
      </c>
      <c r="AC770" s="1426">
        <f t="shared" si="189"/>
        <v>23.200000000000003</v>
      </c>
      <c r="AD770" s="1427">
        <f t="shared" si="189"/>
        <v>22.622</v>
      </c>
      <c r="AE770" s="1477" t="s">
        <v>2187</v>
      </c>
    </row>
    <row r="771" spans="1:31" s="1483" customFormat="1" ht="38.25">
      <c r="A771" s="1477"/>
      <c r="B771" s="1484"/>
      <c r="C771" s="1446"/>
      <c r="D771" s="1446"/>
      <c r="E771" s="1416"/>
      <c r="F771" s="1446"/>
      <c r="G771" s="1446"/>
      <c r="H771" s="1477"/>
      <c r="I771" s="732" t="s">
        <v>238</v>
      </c>
      <c r="J771" s="1479" t="s">
        <v>2233</v>
      </c>
      <c r="K771" s="1480">
        <v>80</v>
      </c>
      <c r="L771" s="1472">
        <v>750000</v>
      </c>
      <c r="M771" s="1480">
        <v>24</v>
      </c>
      <c r="N771" s="1473">
        <v>172714.68</v>
      </c>
      <c r="O771" s="1481">
        <v>9</v>
      </c>
      <c r="P771" s="1450">
        <v>55950</v>
      </c>
      <c r="Q771" s="1480">
        <v>2</v>
      </c>
      <c r="R771" s="1482">
        <v>6900</v>
      </c>
      <c r="S771" s="1480"/>
      <c r="T771" s="1480"/>
      <c r="U771" s="1480"/>
      <c r="V771" s="1480"/>
      <c r="W771" s="1480"/>
      <c r="X771" s="1480"/>
      <c r="Y771" s="1419">
        <f t="shared" si="187"/>
        <v>2</v>
      </c>
      <c r="Z771" s="1425">
        <f t="shared" si="187"/>
        <v>6900</v>
      </c>
      <c r="AA771" s="1419">
        <f t="shared" si="188"/>
        <v>26</v>
      </c>
      <c r="AB771" s="1440">
        <f t="shared" si="188"/>
        <v>179614.68</v>
      </c>
      <c r="AC771" s="1426">
        <f t="shared" si="189"/>
        <v>32.5</v>
      </c>
      <c r="AD771" s="1427">
        <f t="shared" si="189"/>
        <v>23.948623999999999</v>
      </c>
      <c r="AE771" s="1477" t="s">
        <v>2187</v>
      </c>
    </row>
    <row r="772" spans="1:31" s="1483" customFormat="1" ht="51">
      <c r="A772" s="1477"/>
      <c r="B772" s="1484"/>
      <c r="C772" s="1446"/>
      <c r="D772" s="1446"/>
      <c r="E772" s="1416"/>
      <c r="F772" s="1446"/>
      <c r="G772" s="1446"/>
      <c r="H772" s="1477"/>
      <c r="I772" s="732" t="s">
        <v>2234</v>
      </c>
      <c r="J772" s="1479" t="s">
        <v>2235</v>
      </c>
      <c r="K772" s="1480">
        <v>18</v>
      </c>
      <c r="L772" s="1472">
        <v>75000</v>
      </c>
      <c r="M772" s="1480">
        <v>3</v>
      </c>
      <c r="N772" s="1473">
        <v>8870</v>
      </c>
      <c r="O772" s="1481">
        <v>3</v>
      </c>
      <c r="P772" s="1450">
        <v>8900</v>
      </c>
      <c r="Q772" s="1480">
        <v>3</v>
      </c>
      <c r="R772" s="1482">
        <v>750</v>
      </c>
      <c r="S772" s="1480"/>
      <c r="T772" s="1480"/>
      <c r="U772" s="1480"/>
      <c r="V772" s="1480"/>
      <c r="W772" s="1480"/>
      <c r="X772" s="1480"/>
      <c r="Y772" s="1419">
        <f t="shared" si="187"/>
        <v>3</v>
      </c>
      <c r="Z772" s="1425">
        <f t="shared" si="187"/>
        <v>750</v>
      </c>
      <c r="AA772" s="1419">
        <f t="shared" si="188"/>
        <v>6</v>
      </c>
      <c r="AB772" s="1461">
        <f t="shared" si="188"/>
        <v>9620</v>
      </c>
      <c r="AC772" s="1426">
        <f t="shared" si="189"/>
        <v>33.333333333333329</v>
      </c>
      <c r="AD772" s="1427">
        <f t="shared" si="189"/>
        <v>12.826666666666666</v>
      </c>
      <c r="AE772" s="1477" t="s">
        <v>2187</v>
      </c>
    </row>
    <row r="773" spans="1:31" s="1483" customFormat="1" ht="38.25">
      <c r="A773" s="1477"/>
      <c r="B773" s="1484"/>
      <c r="C773" s="1446"/>
      <c r="D773" s="1446"/>
      <c r="E773" s="1416"/>
      <c r="F773" s="1446"/>
      <c r="G773" s="1446"/>
      <c r="H773" s="1477"/>
      <c r="I773" s="732" t="s">
        <v>157</v>
      </c>
      <c r="J773" s="1479" t="s">
        <v>2236</v>
      </c>
      <c r="K773" s="1480">
        <v>60</v>
      </c>
      <c r="L773" s="1472">
        <v>125000</v>
      </c>
      <c r="M773" s="1480">
        <v>10</v>
      </c>
      <c r="N773" s="1473">
        <v>13100</v>
      </c>
      <c r="O773" s="1481">
        <v>12</v>
      </c>
      <c r="P773" s="1450">
        <v>9130</v>
      </c>
      <c r="Q773" s="1480">
        <v>3</v>
      </c>
      <c r="R773" s="1482">
        <v>2837</v>
      </c>
      <c r="S773" s="1480"/>
      <c r="T773" s="1480"/>
      <c r="U773" s="1480"/>
      <c r="V773" s="1480"/>
      <c r="W773" s="1480"/>
      <c r="X773" s="1480"/>
      <c r="Y773" s="1419">
        <f t="shared" si="187"/>
        <v>3</v>
      </c>
      <c r="Z773" s="1425">
        <f t="shared" si="187"/>
        <v>2837</v>
      </c>
      <c r="AA773" s="1419">
        <f t="shared" si="188"/>
        <v>13</v>
      </c>
      <c r="AB773" s="1440">
        <f t="shared" si="188"/>
        <v>15937</v>
      </c>
      <c r="AC773" s="1426">
        <f t="shared" si="189"/>
        <v>21.666666666666668</v>
      </c>
      <c r="AD773" s="1427">
        <f t="shared" si="189"/>
        <v>12.749599999999999</v>
      </c>
      <c r="AE773" s="1477" t="s">
        <v>2187</v>
      </c>
    </row>
    <row r="774" spans="1:31" s="1483" customFormat="1" ht="38.25">
      <c r="A774" s="1477"/>
      <c r="B774" s="1484"/>
      <c r="C774" s="1446"/>
      <c r="D774" s="1446"/>
      <c r="E774" s="1416"/>
      <c r="F774" s="1446"/>
      <c r="G774" s="1446"/>
      <c r="H774" s="1477"/>
      <c r="I774" s="732" t="s">
        <v>2237</v>
      </c>
      <c r="J774" s="1479" t="s">
        <v>2238</v>
      </c>
      <c r="K774" s="1480">
        <v>180</v>
      </c>
      <c r="L774" s="1472">
        <v>1250000</v>
      </c>
      <c r="M774" s="1480">
        <v>32</v>
      </c>
      <c r="N774" s="1473">
        <v>172180.4</v>
      </c>
      <c r="O774" s="1481">
        <v>24</v>
      </c>
      <c r="P774" s="1450">
        <v>102950</v>
      </c>
      <c r="Q774" s="1480">
        <v>4</v>
      </c>
      <c r="R774" s="1482">
        <v>61568.9</v>
      </c>
      <c r="S774" s="1480"/>
      <c r="T774" s="1480"/>
      <c r="U774" s="1480"/>
      <c r="V774" s="1480"/>
      <c r="W774" s="1480"/>
      <c r="X774" s="1480"/>
      <c r="Y774" s="1419">
        <f t="shared" si="187"/>
        <v>4</v>
      </c>
      <c r="Z774" s="1425">
        <f t="shared" si="187"/>
        <v>61568.9</v>
      </c>
      <c r="AA774" s="1419">
        <f t="shared" si="188"/>
        <v>36</v>
      </c>
      <c r="AB774" s="1461">
        <f t="shared" si="188"/>
        <v>233749.3</v>
      </c>
      <c r="AC774" s="1426">
        <f t="shared" si="189"/>
        <v>20</v>
      </c>
      <c r="AD774" s="1427">
        <f t="shared" si="189"/>
        <v>18.699943999999999</v>
      </c>
      <c r="AE774" s="1477" t="s">
        <v>2187</v>
      </c>
    </row>
    <row r="775" spans="1:31" s="1483" customFormat="1" ht="38.25">
      <c r="A775" s="1477"/>
      <c r="B775" s="1478"/>
      <c r="C775" s="1446"/>
      <c r="D775" s="1446"/>
      <c r="E775" s="1416"/>
      <c r="F775" s="1446"/>
      <c r="G775" s="1446"/>
      <c r="H775" s="1477"/>
      <c r="I775" s="732" t="s">
        <v>2239</v>
      </c>
      <c r="J775" s="1479" t="s">
        <v>2240</v>
      </c>
      <c r="K775" s="1480">
        <v>600</v>
      </c>
      <c r="L775" s="1472">
        <v>900000</v>
      </c>
      <c r="M775" s="1480">
        <v>80</v>
      </c>
      <c r="N775" s="1473">
        <v>59825</v>
      </c>
      <c r="O775" s="1481">
        <v>70</v>
      </c>
      <c r="P775" s="1450">
        <v>57997.5</v>
      </c>
      <c r="Q775" s="1480">
        <v>20</v>
      </c>
      <c r="R775" s="1482">
        <v>18492.2</v>
      </c>
      <c r="S775" s="1480"/>
      <c r="T775" s="1480"/>
      <c r="U775" s="1480"/>
      <c r="V775" s="1480"/>
      <c r="W775" s="1480"/>
      <c r="X775" s="1480"/>
      <c r="Y775" s="1419">
        <f t="shared" si="187"/>
        <v>20</v>
      </c>
      <c r="Z775" s="1425">
        <f t="shared" si="187"/>
        <v>18492.2</v>
      </c>
      <c r="AA775" s="1419">
        <f t="shared" si="188"/>
        <v>100</v>
      </c>
      <c r="AB775" s="1440">
        <f t="shared" si="188"/>
        <v>78317.2</v>
      </c>
      <c r="AC775" s="1426">
        <f t="shared" si="189"/>
        <v>16.666666666666664</v>
      </c>
      <c r="AD775" s="1426">
        <f t="shared" si="189"/>
        <v>8.7019111111111105</v>
      </c>
      <c r="AE775" s="1477" t="s">
        <v>2187</v>
      </c>
    </row>
    <row r="776" spans="1:31" s="1412" customFormat="1" ht="38.25">
      <c r="A776" s="341">
        <v>2</v>
      </c>
      <c r="B776" s="341"/>
      <c r="C776" s="368">
        <v>3</v>
      </c>
      <c r="D776" s="368" t="s">
        <v>107</v>
      </c>
      <c r="E776" s="368" t="s">
        <v>65</v>
      </c>
      <c r="F776" s="368" t="s">
        <v>66</v>
      </c>
      <c r="G776" s="368">
        <v>26</v>
      </c>
      <c r="H776" s="341"/>
      <c r="I776" s="344" t="s">
        <v>257</v>
      </c>
      <c r="J776" s="1471" t="s">
        <v>2241</v>
      </c>
      <c r="K776" s="1409">
        <f t="shared" ref="K776:R776" si="190">SUM(K777:K778)</f>
        <v>70</v>
      </c>
      <c r="L776" s="1407">
        <f t="shared" si="190"/>
        <v>1323000</v>
      </c>
      <c r="M776" s="1409">
        <f t="shared" si="190"/>
        <v>9</v>
      </c>
      <c r="N776" s="1411">
        <f t="shared" si="190"/>
        <v>208733.18</v>
      </c>
      <c r="O776" s="1408">
        <f t="shared" si="190"/>
        <v>9</v>
      </c>
      <c r="P776" s="1407">
        <f t="shared" si="190"/>
        <v>90812</v>
      </c>
      <c r="Q776" s="1409">
        <f t="shared" si="190"/>
        <v>3</v>
      </c>
      <c r="R776" s="1410">
        <f t="shared" si="190"/>
        <v>8952.5</v>
      </c>
      <c r="S776" s="1409"/>
      <c r="T776" s="1409"/>
      <c r="U776" s="1409"/>
      <c r="V776" s="1409"/>
      <c r="W776" s="1409"/>
      <c r="X776" s="1409"/>
      <c r="Y776" s="1490">
        <f t="shared" si="187"/>
        <v>3</v>
      </c>
      <c r="Z776" s="1491">
        <f t="shared" si="187"/>
        <v>8952.5</v>
      </c>
      <c r="AA776" s="1490">
        <f t="shared" si="188"/>
        <v>12</v>
      </c>
      <c r="AB776" s="1407">
        <f t="shared" si="188"/>
        <v>217685.68</v>
      </c>
      <c r="AC776" s="1475">
        <f t="shared" si="189"/>
        <v>17.142857142857142</v>
      </c>
      <c r="AD776" s="1475">
        <f t="shared" si="189"/>
        <v>16.453944066515493</v>
      </c>
      <c r="AE776" s="341" t="s">
        <v>2187</v>
      </c>
    </row>
    <row r="777" spans="1:31" s="1483" customFormat="1" ht="38.25">
      <c r="A777" s="1477"/>
      <c r="B777" s="1478"/>
      <c r="C777" s="1446"/>
      <c r="D777" s="1446"/>
      <c r="E777" s="1416"/>
      <c r="F777" s="1446"/>
      <c r="G777" s="1446"/>
      <c r="H777" s="1477"/>
      <c r="I777" s="732" t="s">
        <v>258</v>
      </c>
      <c r="J777" s="1479" t="s">
        <v>2242</v>
      </c>
      <c r="K777" s="1480">
        <v>10</v>
      </c>
      <c r="L777" s="1472">
        <v>500000</v>
      </c>
      <c r="M777" s="1480">
        <v>2</v>
      </c>
      <c r="N777" s="1473">
        <v>83075.95</v>
      </c>
      <c r="O777" s="1481">
        <v>2</v>
      </c>
      <c r="P777" s="1450">
        <v>25235</v>
      </c>
      <c r="Q777" s="1480">
        <v>0</v>
      </c>
      <c r="R777" s="1482">
        <v>0</v>
      </c>
      <c r="S777" s="1480"/>
      <c r="T777" s="1480"/>
      <c r="U777" s="1480"/>
      <c r="V777" s="1480"/>
      <c r="W777" s="1480"/>
      <c r="X777" s="1480"/>
      <c r="Y777" s="1419">
        <f t="shared" si="187"/>
        <v>0</v>
      </c>
      <c r="Z777" s="1425">
        <f t="shared" si="187"/>
        <v>0</v>
      </c>
      <c r="AA777" s="1419">
        <f t="shared" si="188"/>
        <v>2</v>
      </c>
      <c r="AB777" s="1440">
        <f t="shared" si="188"/>
        <v>83075.95</v>
      </c>
      <c r="AC777" s="1426">
        <f t="shared" si="189"/>
        <v>20</v>
      </c>
      <c r="AD777" s="1427">
        <f t="shared" si="189"/>
        <v>16.615189999999998</v>
      </c>
      <c r="AE777" s="1477" t="s">
        <v>2187</v>
      </c>
    </row>
    <row r="778" spans="1:31" s="1483" customFormat="1" ht="38.25">
      <c r="A778" s="1477"/>
      <c r="B778" s="1484"/>
      <c r="C778" s="1446"/>
      <c r="D778" s="1446"/>
      <c r="E778" s="1416"/>
      <c r="F778" s="1446"/>
      <c r="G778" s="1446"/>
      <c r="H778" s="1477"/>
      <c r="I778" s="732" t="s">
        <v>224</v>
      </c>
      <c r="J778" s="1479" t="s">
        <v>2243</v>
      </c>
      <c r="K778" s="1480">
        <v>60</v>
      </c>
      <c r="L778" s="1472">
        <v>823000</v>
      </c>
      <c r="M778" s="1480">
        <v>7</v>
      </c>
      <c r="N778" s="1473">
        <v>125657.23</v>
      </c>
      <c r="O778" s="1481">
        <v>7</v>
      </c>
      <c r="P778" s="1450">
        <v>65577</v>
      </c>
      <c r="Q778" s="1480">
        <v>3</v>
      </c>
      <c r="R778" s="1482">
        <v>8952.5</v>
      </c>
      <c r="S778" s="1480"/>
      <c r="T778" s="1480"/>
      <c r="U778" s="1480"/>
      <c r="V778" s="1480"/>
      <c r="W778" s="1480"/>
      <c r="X778" s="1480"/>
      <c r="Y778" s="1419">
        <f t="shared" si="187"/>
        <v>3</v>
      </c>
      <c r="Z778" s="1425">
        <f t="shared" si="187"/>
        <v>8952.5</v>
      </c>
      <c r="AA778" s="1419">
        <f t="shared" si="188"/>
        <v>10</v>
      </c>
      <c r="AB778" s="1461">
        <f t="shared" si="188"/>
        <v>134609.72999999998</v>
      </c>
      <c r="AC778" s="1426">
        <f t="shared" si="189"/>
        <v>16.666666666666664</v>
      </c>
      <c r="AD778" s="1427">
        <f t="shared" si="189"/>
        <v>16.35598177399757</v>
      </c>
      <c r="AE778" s="1477" t="s">
        <v>2187</v>
      </c>
    </row>
    <row r="779" spans="1:31" s="1412" customFormat="1" ht="51">
      <c r="A779" s="341">
        <v>2</v>
      </c>
      <c r="B779" s="341"/>
      <c r="C779" s="368">
        <v>3</v>
      </c>
      <c r="D779" s="368" t="s">
        <v>107</v>
      </c>
      <c r="E779" s="368" t="s">
        <v>65</v>
      </c>
      <c r="F779" s="368" t="s">
        <v>66</v>
      </c>
      <c r="G779" s="368">
        <v>26</v>
      </c>
      <c r="H779" s="341"/>
      <c r="I779" s="344" t="s">
        <v>73</v>
      </c>
      <c r="J779" s="1471" t="s">
        <v>2244</v>
      </c>
      <c r="K779" s="1409">
        <f>K780</f>
        <v>48</v>
      </c>
      <c r="L779" s="1407">
        <f>L780</f>
        <v>220000</v>
      </c>
      <c r="M779" s="1407">
        <v>0</v>
      </c>
      <c r="N779" s="1411">
        <f>N780</f>
        <v>0</v>
      </c>
      <c r="O779" s="1408">
        <v>10</v>
      </c>
      <c r="P779" s="1492">
        <f>SUM(P780)</f>
        <v>66091.7</v>
      </c>
      <c r="Q779" s="1409">
        <f>Q780</f>
        <v>5</v>
      </c>
      <c r="R779" s="1410">
        <f>R780</f>
        <v>5960</v>
      </c>
      <c r="S779" s="1409"/>
      <c r="T779" s="1409"/>
      <c r="U779" s="1409"/>
      <c r="V779" s="1409"/>
      <c r="W779" s="1409"/>
      <c r="X779" s="1409"/>
      <c r="Y779" s="1490">
        <f t="shared" si="187"/>
        <v>5</v>
      </c>
      <c r="Z779" s="1491">
        <f t="shared" si="187"/>
        <v>5960</v>
      </c>
      <c r="AA779" s="1490">
        <f t="shared" si="188"/>
        <v>5</v>
      </c>
      <c r="AB779" s="1407">
        <f t="shared" si="188"/>
        <v>5960</v>
      </c>
      <c r="AC779" s="1475">
        <f>(AA779/K779)*100</f>
        <v>10.416666666666668</v>
      </c>
      <c r="AD779" s="1476">
        <f t="shared" si="189"/>
        <v>2.7090909090909094</v>
      </c>
      <c r="AE779" s="341" t="s">
        <v>2187</v>
      </c>
    </row>
    <row r="780" spans="1:31" s="1483" customFormat="1" ht="51">
      <c r="A780" s="1477"/>
      <c r="B780" s="1478"/>
      <c r="C780" s="1446"/>
      <c r="D780" s="1446"/>
      <c r="E780" s="1416"/>
      <c r="F780" s="1446"/>
      <c r="G780" s="1446"/>
      <c r="H780" s="1477"/>
      <c r="I780" s="732" t="s">
        <v>2245</v>
      </c>
      <c r="J780" s="1479" t="s">
        <v>2246</v>
      </c>
      <c r="K780" s="1480">
        <v>48</v>
      </c>
      <c r="L780" s="1472">
        <v>220000</v>
      </c>
      <c r="M780" s="1472">
        <v>0</v>
      </c>
      <c r="N780" s="1473">
        <v>0</v>
      </c>
      <c r="O780" s="1481">
        <v>10</v>
      </c>
      <c r="P780" s="1450">
        <v>66091.7</v>
      </c>
      <c r="Q780" s="1480">
        <v>5</v>
      </c>
      <c r="R780" s="1482">
        <v>5960</v>
      </c>
      <c r="S780" s="1480"/>
      <c r="T780" s="1480"/>
      <c r="U780" s="1480"/>
      <c r="V780" s="1480"/>
      <c r="W780" s="1480"/>
      <c r="X780" s="1480"/>
      <c r="Y780" s="1419">
        <f t="shared" si="187"/>
        <v>5</v>
      </c>
      <c r="Z780" s="1425">
        <f t="shared" si="187"/>
        <v>5960</v>
      </c>
      <c r="AA780" s="1419">
        <f t="shared" si="188"/>
        <v>5</v>
      </c>
      <c r="AB780" s="1440">
        <f t="shared" si="188"/>
        <v>5960</v>
      </c>
      <c r="AC780" s="1426">
        <f t="shared" si="189"/>
        <v>10.416666666666668</v>
      </c>
      <c r="AD780" s="1427">
        <f t="shared" si="189"/>
        <v>2.7090909090909094</v>
      </c>
      <c r="AE780" s="1477" t="s">
        <v>2187</v>
      </c>
    </row>
    <row r="781" spans="1:31" s="1495" customFormat="1" ht="15">
      <c r="A781" s="2389" t="s">
        <v>89</v>
      </c>
      <c r="B781" s="2389"/>
      <c r="C781" s="2390"/>
      <c r="D781" s="2390"/>
      <c r="E781" s="2390"/>
      <c r="F781" s="2390"/>
      <c r="G781" s="2390"/>
      <c r="H781" s="2390"/>
      <c r="I781" s="2390"/>
      <c r="J781" s="2390"/>
      <c r="K781" s="2390"/>
      <c r="L781" s="2390"/>
      <c r="M781" s="2390"/>
      <c r="N781" s="2390"/>
      <c r="O781" s="2390"/>
      <c r="P781" s="2390"/>
      <c r="Q781" s="2390"/>
      <c r="R781" s="2390"/>
      <c r="S781" s="2390"/>
      <c r="T781" s="2390"/>
      <c r="U781" s="2390"/>
      <c r="V781" s="2390"/>
      <c r="W781" s="2390"/>
      <c r="X781" s="2390"/>
      <c r="Y781" s="2390"/>
      <c r="Z781" s="2390"/>
      <c r="AA781" s="2390"/>
      <c r="AB781" s="2390"/>
      <c r="AC781" s="1493">
        <f>AVERAGE(AC742:AC762,AC764:AC774,AC777:AC778,AC780)</f>
        <v>34.435549931773259</v>
      </c>
      <c r="AD781" s="1493">
        <f>AVERAGE(AD742:AD762,AD764:AD774,AD777:AD778,AD780)</f>
        <v>17.838940104428836</v>
      </c>
      <c r="AE781" s="1494"/>
    </row>
    <row r="782" spans="1:31" s="1495" customFormat="1" ht="15">
      <c r="A782" s="2389" t="s">
        <v>90</v>
      </c>
      <c r="B782" s="2389"/>
      <c r="C782" s="2390"/>
      <c r="D782" s="2390"/>
      <c r="E782" s="2390"/>
      <c r="F782" s="2390"/>
      <c r="G782" s="2390"/>
      <c r="H782" s="2390"/>
      <c r="I782" s="2390"/>
      <c r="J782" s="2390"/>
      <c r="K782" s="2390"/>
      <c r="L782" s="2390"/>
      <c r="M782" s="2390"/>
      <c r="N782" s="2390"/>
      <c r="O782" s="2390"/>
      <c r="P782" s="2390"/>
      <c r="Q782" s="2390"/>
      <c r="R782" s="2390"/>
      <c r="S782" s="2390"/>
      <c r="T782" s="2390"/>
      <c r="U782" s="2390"/>
      <c r="V782" s="2390"/>
      <c r="W782" s="2390"/>
      <c r="X782" s="2390"/>
      <c r="Y782" s="2390"/>
      <c r="Z782" s="2390"/>
      <c r="AA782" s="2390"/>
      <c r="AB782" s="2390"/>
      <c r="AC782" s="1496" t="str">
        <f>IF(AC781&gt;="45","ST",IF(AC781&gt;=38,"T",IF(AC781&gt;=32,"S",ID(AC781&gt;=25,"R","SR"))))</f>
        <v>S</v>
      </c>
      <c r="AD782" s="1497" t="str">
        <f>IF(AD781&gt;=45,"ST",IF(AD781&gt;=38,"T",IF(AD781&gt;=32,"S",IF(AD781&gt;=25,"R","SR"))))</f>
        <v>SR</v>
      </c>
      <c r="AE782" s="1494"/>
    </row>
    <row r="783" spans="1:31" s="1495" customFormat="1" ht="16.5">
      <c r="A783" s="2471" t="s">
        <v>100</v>
      </c>
      <c r="B783" s="2471"/>
      <c r="C783" s="2471"/>
      <c r="D783" s="2471"/>
      <c r="E783" s="2471"/>
      <c r="F783" s="2471"/>
      <c r="G783" s="2471"/>
      <c r="H783" s="2471"/>
      <c r="I783" s="2471"/>
      <c r="J783" s="2471"/>
      <c r="K783" s="2471"/>
      <c r="L783" s="2471"/>
      <c r="M783" s="2471"/>
      <c r="N783" s="2471"/>
      <c r="O783" s="2471"/>
      <c r="P783" s="1498">
        <f>P741+P763+P776+P779</f>
        <v>7422219.46</v>
      </c>
      <c r="Q783" s="2472"/>
      <c r="R783" s="2472"/>
      <c r="S783" s="2472"/>
      <c r="T783" s="2472"/>
      <c r="U783" s="2472"/>
      <c r="V783" s="2472"/>
      <c r="W783" s="2472"/>
      <c r="X783" s="2472"/>
      <c r="Y783" s="2472"/>
      <c r="Z783" s="2472"/>
      <c r="AA783" s="2472"/>
      <c r="AB783" s="1499">
        <f>AB741+AB763+AB776+AB779</f>
        <v>4382888.29</v>
      </c>
      <c r="AC783" s="1500"/>
      <c r="AD783" s="1500"/>
      <c r="AE783" s="1919"/>
    </row>
    <row r="784" spans="1:31" s="1495" customFormat="1" ht="15">
      <c r="A784" s="2471" t="s">
        <v>101</v>
      </c>
      <c r="B784" s="2471"/>
      <c r="C784" s="2471"/>
      <c r="D784" s="2471"/>
      <c r="E784" s="2471"/>
      <c r="F784" s="2471"/>
      <c r="G784" s="2471"/>
      <c r="H784" s="2471"/>
      <c r="I784" s="2471"/>
      <c r="J784" s="2471"/>
      <c r="K784" s="2471"/>
      <c r="L784" s="2471"/>
      <c r="M784" s="2471"/>
      <c r="N784" s="2471"/>
      <c r="O784" s="2471"/>
      <c r="P784" s="2471"/>
      <c r="Q784" s="2471"/>
      <c r="R784" s="2471"/>
      <c r="S784" s="2471"/>
      <c r="T784" s="2471"/>
      <c r="U784" s="2471"/>
      <c r="V784" s="2471"/>
      <c r="W784" s="2471"/>
      <c r="X784" s="2471"/>
      <c r="Y784" s="2471"/>
      <c r="Z784" s="2471"/>
      <c r="AA784" s="2471"/>
      <c r="AB784" s="2471"/>
      <c r="AC784" s="1501">
        <f>AVERAGE(AC741,AC776,AC763,AC779)</f>
        <v>37.131926283389049</v>
      </c>
      <c r="AD784" s="1501">
        <f>AVERAGE(AD741,AD776,AD763,AD779)</f>
        <v>13.068916951919499</v>
      </c>
      <c r="AE784" s="1919"/>
    </row>
    <row r="785" spans="1:31" s="1495" customFormat="1" ht="15">
      <c r="A785" s="2471" t="s">
        <v>102</v>
      </c>
      <c r="B785" s="2471"/>
      <c r="C785" s="2471"/>
      <c r="D785" s="2471"/>
      <c r="E785" s="2471"/>
      <c r="F785" s="2471"/>
      <c r="G785" s="2471"/>
      <c r="H785" s="2471"/>
      <c r="I785" s="2471"/>
      <c r="J785" s="2471"/>
      <c r="K785" s="2471"/>
      <c r="L785" s="2471"/>
      <c r="M785" s="2471"/>
      <c r="N785" s="2471"/>
      <c r="O785" s="2471"/>
      <c r="P785" s="2471"/>
      <c r="Q785" s="2471"/>
      <c r="R785" s="2471"/>
      <c r="S785" s="2471"/>
      <c r="T785" s="2471"/>
      <c r="U785" s="2471"/>
      <c r="V785" s="2471"/>
      <c r="W785" s="2471"/>
      <c r="X785" s="2471"/>
      <c r="Y785" s="2471"/>
      <c r="Z785" s="2471"/>
      <c r="AA785" s="2471"/>
      <c r="AB785" s="2471"/>
      <c r="AC785" s="1496" t="str">
        <f>IF(AC784&gt;="45","ST",IF(AC784&gt;=38,"T",IF(AC784&gt;=32,"S",ID(AC784&gt;=25,"R","SR"))))</f>
        <v>S</v>
      </c>
      <c r="AD785" s="1497" t="str">
        <f>IF(AD784&gt;=45,"ST",IF(AD784&gt;=38,"T",IF(AD784&gt;=32,"S",IF(AD784&gt;=25,"R","SR"))))</f>
        <v>SR</v>
      </c>
      <c r="AE785" s="1919"/>
    </row>
    <row r="786" spans="1:31" s="1495" customFormat="1" ht="15">
      <c r="A786" s="1505" t="s">
        <v>53</v>
      </c>
      <c r="B786" s="1506"/>
      <c r="C786" s="1506"/>
      <c r="D786" s="1506"/>
      <c r="E786" s="1506"/>
      <c r="F786" s="1506"/>
      <c r="G786" s="1506" t="s">
        <v>2247</v>
      </c>
      <c r="H786" s="1506"/>
      <c r="I786" s="1506"/>
      <c r="J786" s="1506"/>
      <c r="K786" s="1506"/>
      <c r="L786" s="1506"/>
      <c r="M786" s="1506"/>
      <c r="N786" s="1506"/>
      <c r="O786" s="1507"/>
      <c r="P786" s="1506"/>
      <c r="Q786" s="1506"/>
      <c r="R786" s="1506"/>
      <c r="S786" s="1506"/>
      <c r="T786" s="1506"/>
      <c r="U786" s="1506"/>
      <c r="V786" s="1506"/>
      <c r="W786" s="1506"/>
      <c r="X786" s="1506"/>
      <c r="Y786" s="1506"/>
      <c r="Z786" s="1506"/>
      <c r="AA786" s="1506"/>
      <c r="AB786" s="1506"/>
      <c r="AC786" s="1506"/>
      <c r="AD786" s="1506"/>
      <c r="AE786" s="1508"/>
    </row>
    <row r="787" spans="1:31" s="1495" customFormat="1" ht="15">
      <c r="A787" s="1509" t="s">
        <v>52</v>
      </c>
      <c r="B787" s="1510"/>
      <c r="C787" s="1510"/>
      <c r="D787" s="1510"/>
      <c r="E787" s="1510"/>
      <c r="F787" s="1510"/>
      <c r="G787" s="1510" t="s">
        <v>2248</v>
      </c>
      <c r="H787" s="1510"/>
      <c r="I787" s="1510"/>
      <c r="J787" s="1510"/>
      <c r="K787" s="1510"/>
      <c r="L787" s="1510"/>
      <c r="M787" s="1510"/>
      <c r="N787" s="1510"/>
      <c r="O787" s="1511"/>
      <c r="P787" s="1510"/>
      <c r="Q787" s="1510"/>
      <c r="R787" s="1510"/>
      <c r="S787" s="1510"/>
      <c r="T787" s="1510"/>
      <c r="U787" s="1510"/>
      <c r="V787" s="1510"/>
      <c r="W787" s="1510"/>
      <c r="X787" s="1510"/>
      <c r="Y787" s="1510"/>
      <c r="Z787" s="1510"/>
      <c r="AA787" s="1510"/>
      <c r="AB787" s="1510"/>
      <c r="AC787" s="1510"/>
      <c r="AD787" s="1510"/>
      <c r="AE787" s="1512"/>
    </row>
    <row r="788" spans="1:31" s="1495" customFormat="1" ht="15">
      <c r="A788" s="1502" t="s">
        <v>2249</v>
      </c>
      <c r="B788" s="1405"/>
      <c r="C788" s="1405"/>
      <c r="D788" s="1405"/>
      <c r="E788" s="1405"/>
      <c r="F788" s="1405"/>
      <c r="G788" s="1405"/>
      <c r="H788" s="1405"/>
      <c r="I788" s="1405"/>
      <c r="J788" s="1405"/>
      <c r="K788" s="1405"/>
      <c r="L788" s="1405"/>
      <c r="M788" s="1405"/>
      <c r="N788" s="1405"/>
      <c r="O788" s="1503"/>
      <c r="P788" s="1405"/>
      <c r="Q788" s="1405"/>
      <c r="R788" s="1405"/>
      <c r="S788" s="1405"/>
      <c r="T788" s="1405"/>
      <c r="U788" s="1405"/>
      <c r="V788" s="1405"/>
      <c r="W788" s="1405"/>
      <c r="X788" s="1405"/>
      <c r="Y788" s="1405"/>
      <c r="Z788" s="1405"/>
      <c r="AA788" s="1405"/>
      <c r="AB788" s="1405"/>
      <c r="AC788" s="1405"/>
      <c r="AD788" s="1405"/>
      <c r="AE788" s="1504"/>
    </row>
    <row r="789" spans="1:31" s="1495" customFormat="1" ht="15">
      <c r="A789" s="1502" t="s">
        <v>55</v>
      </c>
      <c r="B789" s="1405"/>
      <c r="C789" s="1405"/>
      <c r="D789" s="1405"/>
      <c r="E789" s="1405"/>
      <c r="F789" s="1405"/>
      <c r="G789" s="1405"/>
      <c r="H789" s="1405"/>
      <c r="I789" s="1405"/>
      <c r="J789" s="1405"/>
      <c r="K789" s="1405"/>
      <c r="L789" s="1405"/>
      <c r="M789" s="1405"/>
      <c r="N789" s="1405"/>
      <c r="O789" s="1503"/>
      <c r="P789" s="1405"/>
      <c r="Q789" s="1405"/>
      <c r="R789" s="1405"/>
      <c r="S789" s="1405"/>
      <c r="T789" s="1405"/>
      <c r="U789" s="1405"/>
      <c r="V789" s="1405"/>
      <c r="W789" s="1405"/>
      <c r="X789" s="1405"/>
      <c r="Y789" s="1405"/>
      <c r="Z789" s="1405"/>
      <c r="AA789" s="1405"/>
      <c r="AB789" s="1405"/>
      <c r="AC789" s="1405"/>
      <c r="AD789" s="1405"/>
      <c r="AE789" s="1504"/>
    </row>
    <row r="790" spans="1:31" ht="22.5" customHeight="1">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382"/>
      <c r="Z790" s="56"/>
      <c r="AA790" s="56"/>
      <c r="AB790" s="56"/>
      <c r="AC790" s="56"/>
      <c r="AD790" s="56"/>
      <c r="AE790" s="56"/>
    </row>
    <row r="791" spans="1:31" s="69" customFormat="1" ht="53.25" customHeight="1">
      <c r="A791" s="67">
        <v>13</v>
      </c>
      <c r="B791" s="67"/>
      <c r="C791" s="67"/>
      <c r="D791" s="67"/>
      <c r="E791" s="67"/>
      <c r="F791" s="67"/>
      <c r="G791" s="67"/>
      <c r="H791" s="67"/>
      <c r="I791" s="68" t="s">
        <v>140</v>
      </c>
      <c r="J791" s="67"/>
      <c r="K791" s="67"/>
      <c r="L791" s="67"/>
      <c r="M791" s="67"/>
      <c r="N791" s="67"/>
      <c r="O791" s="67"/>
      <c r="P791" s="67"/>
      <c r="Q791" s="67"/>
      <c r="R791" s="67"/>
      <c r="S791" s="67"/>
      <c r="T791" s="67"/>
      <c r="U791" s="67"/>
      <c r="V791" s="67"/>
      <c r="W791" s="67"/>
      <c r="X791" s="67"/>
      <c r="Y791" s="366"/>
      <c r="Z791" s="67"/>
      <c r="AA791" s="67"/>
      <c r="AB791" s="67"/>
      <c r="AC791" s="67"/>
      <c r="AD791" s="67"/>
      <c r="AE791" s="67"/>
    </row>
    <row r="792" spans="1:31" s="145" customFormat="1" ht="51">
      <c r="A792" s="495">
        <v>1</v>
      </c>
      <c r="B792" s="495"/>
      <c r="C792" s="623">
        <v>1</v>
      </c>
      <c r="D792" s="623" t="s">
        <v>65</v>
      </c>
      <c r="E792" s="623" t="s">
        <v>198</v>
      </c>
      <c r="F792" s="623" t="s">
        <v>66</v>
      </c>
      <c r="G792" s="623" t="s">
        <v>66</v>
      </c>
      <c r="H792" s="495"/>
      <c r="I792" s="383" t="s">
        <v>221</v>
      </c>
      <c r="J792" s="383" t="s">
        <v>693</v>
      </c>
      <c r="K792" s="633">
        <f>SUM(K793+K794+K795+K796+K797+K798+K799+K800+K794+K801+K802+K803+K804+K805+K806+K807+K809+K811)</f>
        <v>1440</v>
      </c>
      <c r="L792" s="624">
        <f>SUM(L793:L800)</f>
        <v>3163267560</v>
      </c>
      <c r="M792" s="633">
        <f>SUM(M793+M794+M795+M796+M797+M798+M799+M800+M794+M801+M802+M803+M804+M805+M806+M807+M809+M811)</f>
        <v>475</v>
      </c>
      <c r="N792" s="624">
        <f>SUM(N793:N800)</f>
        <v>1038562276</v>
      </c>
      <c r="O792" s="633">
        <f>SUM(O793+O794+O795+O796+O797+O798+O799+O800+O794+O801+O802+O803+O804+O805+O806+O807+O809+O811)</f>
        <v>182</v>
      </c>
      <c r="P792" s="624">
        <f>SUM(P793+P794+P796+P797+P798+P801+P802+P803+P804+P806+P807+P809+P811)</f>
        <v>865423668</v>
      </c>
      <c r="Q792" s="633">
        <f>SUM(Q793+Q794+Q795+Q796+Q797+Q798+Q799+Q800+Q794+Q801+Q802+Q803+Q804+Q805+Q806+Q807+Q809+Q811)</f>
        <v>38</v>
      </c>
      <c r="R792" s="625">
        <f>SUM(R793:R800)</f>
        <v>150657052</v>
      </c>
      <c r="S792" s="616"/>
      <c r="T792" s="616"/>
      <c r="U792" s="616"/>
      <c r="V792" s="616"/>
      <c r="W792" s="616"/>
      <c r="X792" s="616"/>
      <c r="Y792" s="616">
        <f>Q792+S792+U792+W792</f>
        <v>38</v>
      </c>
      <c r="Z792" s="625">
        <f>SUM(Z793:Z800)</f>
        <v>150657052</v>
      </c>
      <c r="AA792" s="616">
        <f>M792+Y792</f>
        <v>513</v>
      </c>
      <c r="AB792" s="624">
        <f>SUM(AB793:AB800)</f>
        <v>1189219328</v>
      </c>
      <c r="AC792" s="493">
        <f>(AA792/K792)*100</f>
        <v>35.625</v>
      </c>
      <c r="AD792" s="493">
        <f t="shared" ref="AD792:AD794" si="191">(AB792/L792)*100</f>
        <v>37.594648743528985</v>
      </c>
      <c r="AE792" s="616" t="s">
        <v>694</v>
      </c>
    </row>
    <row r="793" spans="1:31" s="63" customFormat="1" ht="51">
      <c r="A793" s="59"/>
      <c r="B793" s="634" t="s">
        <v>695</v>
      </c>
      <c r="C793" s="1905">
        <v>1</v>
      </c>
      <c r="D793" s="1905" t="s">
        <v>65</v>
      </c>
      <c r="E793" s="1905" t="s">
        <v>198</v>
      </c>
      <c r="F793" s="1905" t="s">
        <v>66</v>
      </c>
      <c r="G793" s="1905" t="s">
        <v>66</v>
      </c>
      <c r="H793" s="1900" t="s">
        <v>65</v>
      </c>
      <c r="I793" s="58" t="s">
        <v>696</v>
      </c>
      <c r="J793" s="58" t="s">
        <v>697</v>
      </c>
      <c r="K793" s="59">
        <f>12*6</f>
        <v>72</v>
      </c>
      <c r="L793" s="60">
        <v>213000000</v>
      </c>
      <c r="M793" s="443">
        <f>12*2</f>
        <v>24</v>
      </c>
      <c r="N793" s="635">
        <v>69698004</v>
      </c>
      <c r="O793" s="59">
        <v>12</v>
      </c>
      <c r="P793" s="60">
        <v>38280000</v>
      </c>
      <c r="Q793" s="443">
        <v>3</v>
      </c>
      <c r="R793" s="59">
        <v>8522202</v>
      </c>
      <c r="S793" s="59"/>
      <c r="T793" s="59"/>
      <c r="U793" s="59"/>
      <c r="V793" s="59"/>
      <c r="W793" s="59"/>
      <c r="X793" s="59"/>
      <c r="Y793" s="59">
        <f>Q793+S793+U793+W793</f>
        <v>3</v>
      </c>
      <c r="Z793" s="60">
        <f>R793+T793+V793+X793</f>
        <v>8522202</v>
      </c>
      <c r="AA793" s="59">
        <f>M793+Y793</f>
        <v>27</v>
      </c>
      <c r="AB793" s="60">
        <f>N793+Z793</f>
        <v>78220206</v>
      </c>
      <c r="AC793" s="1909">
        <f>(AA793/K793)*100</f>
        <v>37.5</v>
      </c>
      <c r="AD793" s="62">
        <f t="shared" si="191"/>
        <v>36.723101408450702</v>
      </c>
      <c r="AE793" s="385" t="s">
        <v>694</v>
      </c>
    </row>
    <row r="794" spans="1:31" s="63" customFormat="1" ht="48" customHeight="1">
      <c r="A794" s="2323"/>
      <c r="B794" s="2376"/>
      <c r="C794" s="2321">
        <v>1</v>
      </c>
      <c r="D794" s="2321" t="s">
        <v>65</v>
      </c>
      <c r="E794" s="2321" t="s">
        <v>198</v>
      </c>
      <c r="F794" s="2321" t="s">
        <v>66</v>
      </c>
      <c r="G794" s="2321" t="s">
        <v>66</v>
      </c>
      <c r="H794" s="2321" t="s">
        <v>197</v>
      </c>
      <c r="I794" s="2339" t="s">
        <v>698</v>
      </c>
      <c r="J794" s="58" t="s">
        <v>699</v>
      </c>
      <c r="K794" s="59">
        <f>6*6</f>
        <v>36</v>
      </c>
      <c r="L794" s="2477">
        <v>1784588860</v>
      </c>
      <c r="M794" s="443">
        <f>6*2</f>
        <v>12</v>
      </c>
      <c r="N794" s="2477">
        <v>664811922</v>
      </c>
      <c r="O794" s="59">
        <v>12</v>
      </c>
      <c r="P794" s="2477">
        <v>265419210</v>
      </c>
      <c r="Q794" s="443">
        <v>2</v>
      </c>
      <c r="R794" s="2477">
        <v>110784850</v>
      </c>
      <c r="S794" s="59"/>
      <c r="T794" s="2323"/>
      <c r="U794" s="59"/>
      <c r="V794" s="2323"/>
      <c r="W794" s="59"/>
      <c r="X794" s="2323"/>
      <c r="Y794" s="59">
        <f>Q794+S794+U794+W794</f>
        <v>2</v>
      </c>
      <c r="Z794" s="2477">
        <f>R794+T794+V794+X794</f>
        <v>110784850</v>
      </c>
      <c r="AA794" s="59">
        <f>M794+Y794</f>
        <v>14</v>
      </c>
      <c r="AB794" s="2477">
        <f>N794+Z794</f>
        <v>775596772</v>
      </c>
      <c r="AC794" s="1909">
        <f>(AA794/K794)*100</f>
        <v>38.888888888888893</v>
      </c>
      <c r="AD794" s="2479">
        <f t="shared" si="191"/>
        <v>43.460809903296152</v>
      </c>
      <c r="AE794" s="2323" t="s">
        <v>694</v>
      </c>
    </row>
    <row r="795" spans="1:31" s="63" customFormat="1" ht="25.5">
      <c r="A795" s="2324"/>
      <c r="B795" s="2377"/>
      <c r="C795" s="2322"/>
      <c r="D795" s="2322"/>
      <c r="E795" s="2322"/>
      <c r="F795" s="2322"/>
      <c r="G795" s="2322"/>
      <c r="H795" s="2322"/>
      <c r="I795" s="2340"/>
      <c r="J795" s="58" t="s">
        <v>700</v>
      </c>
      <c r="K795" s="59">
        <f>70*6</f>
        <v>420</v>
      </c>
      <c r="L795" s="2478"/>
      <c r="M795" s="443">
        <f>70*2</f>
        <v>140</v>
      </c>
      <c r="N795" s="2478"/>
      <c r="O795" s="59"/>
      <c r="P795" s="2478"/>
      <c r="Q795" s="443">
        <v>0</v>
      </c>
      <c r="R795" s="2478"/>
      <c r="S795" s="59"/>
      <c r="T795" s="2324"/>
      <c r="U795" s="59"/>
      <c r="V795" s="2324"/>
      <c r="W795" s="59"/>
      <c r="X795" s="2324"/>
      <c r="Y795" s="59"/>
      <c r="Z795" s="2478"/>
      <c r="AA795" s="59"/>
      <c r="AB795" s="2478"/>
      <c r="AC795" s="1909"/>
      <c r="AD795" s="2480"/>
      <c r="AE795" s="2324"/>
    </row>
    <row r="796" spans="1:31" s="63" customFormat="1" ht="99.75" customHeight="1">
      <c r="A796" s="59"/>
      <c r="B796" s="634"/>
      <c r="C796" s="1905">
        <v>1</v>
      </c>
      <c r="D796" s="1905" t="s">
        <v>65</v>
      </c>
      <c r="E796" s="1905" t="s">
        <v>198</v>
      </c>
      <c r="F796" s="1905" t="s">
        <v>66</v>
      </c>
      <c r="G796" s="1905" t="s">
        <v>66</v>
      </c>
      <c r="H796" s="1900" t="s">
        <v>198</v>
      </c>
      <c r="I796" s="58" t="s">
        <v>701</v>
      </c>
      <c r="J796" s="58" t="s">
        <v>702</v>
      </c>
      <c r="K796" s="59">
        <f t="shared" ref="K796:K797" si="192">12*6</f>
        <v>72</v>
      </c>
      <c r="L796" s="60">
        <v>480000000</v>
      </c>
      <c r="M796" s="443">
        <f t="shared" ref="M796" si="193">12*2</f>
        <v>24</v>
      </c>
      <c r="N796" s="60">
        <v>105100000</v>
      </c>
      <c r="O796" s="59">
        <v>12</v>
      </c>
      <c r="P796" s="60">
        <v>101100000</v>
      </c>
      <c r="Q796" s="443">
        <v>0</v>
      </c>
      <c r="R796" s="60">
        <v>0</v>
      </c>
      <c r="S796" s="59"/>
      <c r="T796" s="59"/>
      <c r="U796" s="59"/>
      <c r="V796" s="59"/>
      <c r="W796" s="59"/>
      <c r="X796" s="59"/>
      <c r="Y796" s="59">
        <f t="shared" ref="Y796:Z811" si="194">Q796+S796+U796+W796</f>
        <v>0</v>
      </c>
      <c r="Z796" s="60">
        <f t="shared" si="194"/>
        <v>0</v>
      </c>
      <c r="AA796" s="59">
        <f t="shared" ref="AA796:AB800" si="195">M796+Y796</f>
        <v>24</v>
      </c>
      <c r="AB796" s="60">
        <f t="shared" si="195"/>
        <v>105100000</v>
      </c>
      <c r="AC796" s="1909">
        <f t="shared" ref="AC796:AD811" si="196">(AA796/K796)*100</f>
        <v>33.333333333333329</v>
      </c>
      <c r="AD796" s="62">
        <f t="shared" si="196"/>
        <v>21.895833333333332</v>
      </c>
      <c r="AE796" s="385" t="s">
        <v>694</v>
      </c>
    </row>
    <row r="797" spans="1:31" s="63" customFormat="1" ht="25.5">
      <c r="A797" s="59"/>
      <c r="B797" s="634"/>
      <c r="C797" s="1905">
        <v>1</v>
      </c>
      <c r="D797" s="1905" t="s">
        <v>65</v>
      </c>
      <c r="E797" s="1905" t="s">
        <v>198</v>
      </c>
      <c r="F797" s="1905" t="s">
        <v>66</v>
      </c>
      <c r="G797" s="1905" t="s">
        <v>66</v>
      </c>
      <c r="H797" s="1900" t="s">
        <v>93</v>
      </c>
      <c r="I797" s="58" t="s">
        <v>703</v>
      </c>
      <c r="J797" s="58" t="s">
        <v>704</v>
      </c>
      <c r="K797" s="59">
        <f t="shared" si="192"/>
        <v>72</v>
      </c>
      <c r="L797" s="60">
        <v>625678700</v>
      </c>
      <c r="M797" s="443">
        <f>12*2</f>
        <v>24</v>
      </c>
      <c r="N797" s="60">
        <v>179652350</v>
      </c>
      <c r="O797" s="59">
        <v>12</v>
      </c>
      <c r="P797" s="60">
        <v>121717400</v>
      </c>
      <c r="Q797" s="443">
        <v>3</v>
      </c>
      <c r="R797" s="60">
        <v>29250000</v>
      </c>
      <c r="S797" s="59"/>
      <c r="T797" s="59"/>
      <c r="U797" s="59"/>
      <c r="V797" s="59"/>
      <c r="W797" s="59"/>
      <c r="X797" s="59"/>
      <c r="Y797" s="59">
        <f t="shared" si="194"/>
        <v>3</v>
      </c>
      <c r="Z797" s="60">
        <f t="shared" si="194"/>
        <v>29250000</v>
      </c>
      <c r="AA797" s="59">
        <f t="shared" si="195"/>
        <v>27</v>
      </c>
      <c r="AB797" s="60">
        <f t="shared" si="195"/>
        <v>208902350</v>
      </c>
      <c r="AC797" s="1909">
        <f t="shared" si="196"/>
        <v>37.5</v>
      </c>
      <c r="AD797" s="62">
        <f t="shared" si="196"/>
        <v>33.388119173626976</v>
      </c>
      <c r="AE797" s="385" t="s">
        <v>694</v>
      </c>
    </row>
    <row r="798" spans="1:31" s="63" customFormat="1" ht="33" customHeight="1">
      <c r="A798" s="2323"/>
      <c r="B798" s="2376"/>
      <c r="C798" s="2321">
        <v>1</v>
      </c>
      <c r="D798" s="2321" t="s">
        <v>65</v>
      </c>
      <c r="E798" s="2321" t="s">
        <v>198</v>
      </c>
      <c r="F798" s="2321" t="s">
        <v>66</v>
      </c>
      <c r="G798" s="2321" t="s">
        <v>66</v>
      </c>
      <c r="H798" s="2321" t="s">
        <v>201</v>
      </c>
      <c r="I798" s="2339" t="s">
        <v>705</v>
      </c>
      <c r="J798" s="58" t="s">
        <v>706</v>
      </c>
      <c r="K798" s="59">
        <f>1*6</f>
        <v>6</v>
      </c>
      <c r="L798" s="2477">
        <v>60000000</v>
      </c>
      <c r="M798" s="443">
        <v>2</v>
      </c>
      <c r="N798" s="2477">
        <v>19300000</v>
      </c>
      <c r="O798" s="59">
        <v>1</v>
      </c>
      <c r="P798" s="2477">
        <v>9950000</v>
      </c>
      <c r="Q798" s="443">
        <v>0</v>
      </c>
      <c r="R798" s="2477">
        <v>2100000</v>
      </c>
      <c r="S798" s="59"/>
      <c r="T798" s="2323"/>
      <c r="U798" s="59"/>
      <c r="V798" s="2323"/>
      <c r="W798" s="59"/>
      <c r="X798" s="2323"/>
      <c r="Y798" s="59">
        <f t="shared" si="194"/>
        <v>0</v>
      </c>
      <c r="Z798" s="2477">
        <f>R798+T800+V800+X800</f>
        <v>2100000</v>
      </c>
      <c r="AA798" s="59">
        <f t="shared" si="195"/>
        <v>2</v>
      </c>
      <c r="AB798" s="2477">
        <f>N798+Z798</f>
        <v>21400000</v>
      </c>
      <c r="AC798" s="1909">
        <f t="shared" si="196"/>
        <v>33.333333333333329</v>
      </c>
      <c r="AD798" s="2481">
        <f>(AB798/L798)*100</f>
        <v>35.666666666666671</v>
      </c>
      <c r="AE798" s="385"/>
    </row>
    <row r="799" spans="1:31" s="63" customFormat="1">
      <c r="A799" s="2392"/>
      <c r="B799" s="2485"/>
      <c r="C799" s="2382"/>
      <c r="D799" s="2382"/>
      <c r="E799" s="2382"/>
      <c r="F799" s="2382"/>
      <c r="G799" s="2382"/>
      <c r="H799" s="2382"/>
      <c r="I799" s="2383"/>
      <c r="J799" s="58" t="s">
        <v>707</v>
      </c>
      <c r="K799" s="59">
        <f>15*6</f>
        <v>90</v>
      </c>
      <c r="L799" s="2484"/>
      <c r="M799" s="443">
        <v>30</v>
      </c>
      <c r="N799" s="2484"/>
      <c r="O799" s="59">
        <v>15</v>
      </c>
      <c r="P799" s="2484"/>
      <c r="Q799" s="443">
        <v>8</v>
      </c>
      <c r="R799" s="2484"/>
      <c r="S799" s="59"/>
      <c r="T799" s="2392"/>
      <c r="U799" s="59"/>
      <c r="V799" s="2392"/>
      <c r="W799" s="59"/>
      <c r="X799" s="2392"/>
      <c r="Y799" s="59">
        <f t="shared" si="194"/>
        <v>8</v>
      </c>
      <c r="Z799" s="2484"/>
      <c r="AA799" s="59">
        <f t="shared" si="195"/>
        <v>38</v>
      </c>
      <c r="AB799" s="2484"/>
      <c r="AC799" s="1909">
        <f t="shared" si="196"/>
        <v>42.222222222222221</v>
      </c>
      <c r="AD799" s="2482"/>
      <c r="AE799" s="385"/>
    </row>
    <row r="800" spans="1:31" s="63" customFormat="1" ht="38.25">
      <c r="A800" s="2324"/>
      <c r="B800" s="2377"/>
      <c r="C800" s="2322"/>
      <c r="D800" s="2322"/>
      <c r="E800" s="2322"/>
      <c r="F800" s="2322"/>
      <c r="G800" s="2322"/>
      <c r="H800" s="2322"/>
      <c r="I800" s="2340"/>
      <c r="J800" s="58" t="s">
        <v>708</v>
      </c>
      <c r="K800" s="59">
        <f>9*6</f>
        <v>54</v>
      </c>
      <c r="L800" s="2478"/>
      <c r="M800" s="443">
        <f>9*2</f>
        <v>18</v>
      </c>
      <c r="N800" s="2478"/>
      <c r="O800" s="59">
        <v>9</v>
      </c>
      <c r="P800" s="2478"/>
      <c r="Q800" s="443">
        <v>2</v>
      </c>
      <c r="R800" s="2478"/>
      <c r="S800" s="59"/>
      <c r="T800" s="2324"/>
      <c r="U800" s="59"/>
      <c r="V800" s="2324"/>
      <c r="W800" s="59"/>
      <c r="X800" s="2324"/>
      <c r="Y800" s="59">
        <f t="shared" si="194"/>
        <v>2</v>
      </c>
      <c r="Z800" s="2478"/>
      <c r="AA800" s="59">
        <f t="shared" si="195"/>
        <v>20</v>
      </c>
      <c r="AB800" s="2478"/>
      <c r="AC800" s="1909">
        <f t="shared" si="196"/>
        <v>37.037037037037038</v>
      </c>
      <c r="AD800" s="2483"/>
      <c r="AE800" s="385" t="s">
        <v>694</v>
      </c>
    </row>
    <row r="801" spans="1:31" s="63" customFormat="1">
      <c r="A801" s="1904"/>
      <c r="B801" s="1904"/>
      <c r="C801" s="1905">
        <v>1</v>
      </c>
      <c r="D801" s="1905" t="s">
        <v>65</v>
      </c>
      <c r="E801" s="1905" t="s">
        <v>198</v>
      </c>
      <c r="F801" s="1905" t="s">
        <v>66</v>
      </c>
      <c r="G801" s="1905" t="s">
        <v>66</v>
      </c>
      <c r="H801" s="1905" t="s">
        <v>202</v>
      </c>
      <c r="I801" s="384" t="s">
        <v>709</v>
      </c>
      <c r="J801" s="384" t="s">
        <v>710</v>
      </c>
      <c r="K801" s="385">
        <f t="shared" ref="K801:K811" si="197">12*6</f>
        <v>72</v>
      </c>
      <c r="L801" s="386">
        <v>210000000</v>
      </c>
      <c r="M801" s="595">
        <f t="shared" ref="M801:M811" si="198">12*2</f>
        <v>24</v>
      </c>
      <c r="N801" s="386">
        <v>51226494</v>
      </c>
      <c r="O801" s="385">
        <v>12</v>
      </c>
      <c r="P801" s="386">
        <v>48621019</v>
      </c>
      <c r="Q801" s="595">
        <v>3</v>
      </c>
      <c r="R801" s="386">
        <v>11280075</v>
      </c>
      <c r="S801" s="385"/>
      <c r="T801" s="385"/>
      <c r="U801" s="385"/>
      <c r="V801" s="385"/>
      <c r="W801" s="385"/>
      <c r="X801" s="385"/>
      <c r="Y801" s="385">
        <f t="shared" si="194"/>
        <v>3</v>
      </c>
      <c r="Z801" s="386">
        <f t="shared" si="194"/>
        <v>11280075</v>
      </c>
      <c r="AA801" s="385">
        <f>M801+Y801</f>
        <v>27</v>
      </c>
      <c r="AB801" s="386">
        <f t="shared" ref="AB801:AB811" si="199">N801+Z801</f>
        <v>62506569</v>
      </c>
      <c r="AC801" s="598">
        <f t="shared" si="196"/>
        <v>37.5</v>
      </c>
      <c r="AD801" s="389">
        <f t="shared" si="196"/>
        <v>29.76503285714286</v>
      </c>
      <c r="AE801" s="385" t="s">
        <v>694</v>
      </c>
    </row>
    <row r="802" spans="1:31" s="63" customFormat="1" ht="25.5">
      <c r="A802" s="1898"/>
      <c r="B802" s="1904"/>
      <c r="C802" s="1905">
        <v>1</v>
      </c>
      <c r="D802" s="1905" t="s">
        <v>65</v>
      </c>
      <c r="E802" s="1905" t="s">
        <v>198</v>
      </c>
      <c r="F802" s="1905" t="s">
        <v>66</v>
      </c>
      <c r="G802" s="1905" t="s">
        <v>66</v>
      </c>
      <c r="H802" s="1900" t="s">
        <v>417</v>
      </c>
      <c r="I802" s="58" t="s">
        <v>711</v>
      </c>
      <c r="J802" s="58" t="s">
        <v>712</v>
      </c>
      <c r="K802" s="59">
        <f t="shared" si="197"/>
        <v>72</v>
      </c>
      <c r="L802" s="60">
        <v>180000000</v>
      </c>
      <c r="M802" s="443">
        <f t="shared" si="198"/>
        <v>24</v>
      </c>
      <c r="N802" s="60">
        <v>56615200</v>
      </c>
      <c r="O802" s="59">
        <v>12</v>
      </c>
      <c r="P802" s="60">
        <v>41343954</v>
      </c>
      <c r="Q802" s="443">
        <v>3</v>
      </c>
      <c r="R802" s="60">
        <v>15107783</v>
      </c>
      <c r="S802" s="59"/>
      <c r="T802" s="59"/>
      <c r="U802" s="59"/>
      <c r="V802" s="59"/>
      <c r="W802" s="59"/>
      <c r="X802" s="59"/>
      <c r="Y802" s="59">
        <f t="shared" si="194"/>
        <v>3</v>
      </c>
      <c r="Z802" s="60">
        <f t="shared" si="194"/>
        <v>15107783</v>
      </c>
      <c r="AA802" s="59">
        <f>M802+Y802</f>
        <v>27</v>
      </c>
      <c r="AB802" s="60">
        <f t="shared" si="199"/>
        <v>71722983</v>
      </c>
      <c r="AC802" s="1909">
        <f t="shared" si="196"/>
        <v>37.5</v>
      </c>
      <c r="AD802" s="62">
        <f t="shared" si="196"/>
        <v>39.846101666666669</v>
      </c>
      <c r="AE802" s="385" t="s">
        <v>694</v>
      </c>
    </row>
    <row r="803" spans="1:31" s="63" customFormat="1" ht="38.25">
      <c r="A803" s="1898"/>
      <c r="B803" s="1904"/>
      <c r="C803" s="1905">
        <v>1</v>
      </c>
      <c r="D803" s="1905" t="s">
        <v>65</v>
      </c>
      <c r="E803" s="1905" t="s">
        <v>198</v>
      </c>
      <c r="F803" s="1905" t="s">
        <v>66</v>
      </c>
      <c r="G803" s="1905" t="s">
        <v>66</v>
      </c>
      <c r="H803" s="1900" t="s">
        <v>160</v>
      </c>
      <c r="I803" s="58" t="s">
        <v>713</v>
      </c>
      <c r="J803" s="58" t="s">
        <v>714</v>
      </c>
      <c r="K803" s="59">
        <f t="shared" si="197"/>
        <v>72</v>
      </c>
      <c r="L803" s="60">
        <v>111630000</v>
      </c>
      <c r="M803" s="443">
        <f t="shared" si="198"/>
        <v>24</v>
      </c>
      <c r="N803" s="60">
        <v>21850500</v>
      </c>
      <c r="O803" s="59">
        <v>12</v>
      </c>
      <c r="P803" s="60">
        <v>8152085</v>
      </c>
      <c r="Q803" s="443">
        <v>3</v>
      </c>
      <c r="R803" s="60">
        <v>3000000</v>
      </c>
      <c r="S803" s="59"/>
      <c r="T803" s="59"/>
      <c r="U803" s="59"/>
      <c r="V803" s="59"/>
      <c r="W803" s="59"/>
      <c r="X803" s="59"/>
      <c r="Y803" s="59">
        <f t="shared" si="194"/>
        <v>3</v>
      </c>
      <c r="Z803" s="60">
        <f t="shared" si="194"/>
        <v>3000000</v>
      </c>
      <c r="AA803" s="59">
        <f t="shared" ref="AA803:AA811" si="200">M803+Y803</f>
        <v>27</v>
      </c>
      <c r="AB803" s="60">
        <f t="shared" si="199"/>
        <v>24850500</v>
      </c>
      <c r="AC803" s="1909">
        <f t="shared" si="196"/>
        <v>37.5</v>
      </c>
      <c r="AD803" s="62">
        <f t="shared" si="196"/>
        <v>22.261488847084117</v>
      </c>
      <c r="AE803" s="385" t="s">
        <v>694</v>
      </c>
    </row>
    <row r="804" spans="1:31" s="63" customFormat="1" ht="51" customHeight="1">
      <c r="A804" s="2323"/>
      <c r="B804" s="2323"/>
      <c r="C804" s="2321">
        <v>1</v>
      </c>
      <c r="D804" s="2321" t="s">
        <v>65</v>
      </c>
      <c r="E804" s="2321" t="s">
        <v>198</v>
      </c>
      <c r="F804" s="2321" t="s">
        <v>66</v>
      </c>
      <c r="G804" s="2321" t="s">
        <v>66</v>
      </c>
      <c r="H804" s="2321" t="s">
        <v>391</v>
      </c>
      <c r="I804" s="2339" t="s">
        <v>153</v>
      </c>
      <c r="J804" s="58" t="s">
        <v>715</v>
      </c>
      <c r="K804" s="385">
        <f>8*6</f>
        <v>48</v>
      </c>
      <c r="L804" s="2486">
        <v>300000000</v>
      </c>
      <c r="M804" s="595">
        <f>8*2</f>
        <v>16</v>
      </c>
      <c r="N804" s="2486">
        <v>95050000</v>
      </c>
      <c r="O804" s="385">
        <v>8</v>
      </c>
      <c r="P804" s="2486">
        <v>28700000</v>
      </c>
      <c r="Q804" s="595">
        <v>0</v>
      </c>
      <c r="R804" s="2477">
        <v>0</v>
      </c>
      <c r="S804" s="2323"/>
      <c r="T804" s="2323"/>
      <c r="U804" s="2323"/>
      <c r="V804" s="2323"/>
      <c r="W804" s="2323"/>
      <c r="X804" s="2323"/>
      <c r="Y804" s="439">
        <f>Q804+S805+U805+W805</f>
        <v>0</v>
      </c>
      <c r="Z804" s="2477">
        <f>R804+T805+V805+X805</f>
        <v>0</v>
      </c>
      <c r="AA804" s="439">
        <f>M804+Y804</f>
        <v>16</v>
      </c>
      <c r="AB804" s="2477">
        <f>N804+Z804</f>
        <v>95050000</v>
      </c>
      <c r="AC804" s="2479">
        <f>(AA804/K804)*100</f>
        <v>33.333333333333329</v>
      </c>
      <c r="AD804" s="2479">
        <f>(AB804/L804)*100</f>
        <v>31.683333333333337</v>
      </c>
      <c r="AE804" s="2323" t="s">
        <v>694</v>
      </c>
    </row>
    <row r="805" spans="1:31" s="63" customFormat="1" ht="35.25" customHeight="1">
      <c r="A805" s="2324"/>
      <c r="B805" s="2324"/>
      <c r="C805" s="2322"/>
      <c r="D805" s="2322"/>
      <c r="E805" s="2322"/>
      <c r="F805" s="2322"/>
      <c r="G805" s="2322"/>
      <c r="H805" s="2322"/>
      <c r="I805" s="2340"/>
      <c r="J805" s="58" t="s">
        <v>716</v>
      </c>
      <c r="K805" s="385">
        <f>5*6</f>
        <v>30</v>
      </c>
      <c r="L805" s="2486"/>
      <c r="M805" s="595">
        <v>5</v>
      </c>
      <c r="N805" s="2486"/>
      <c r="O805" s="385">
        <v>5</v>
      </c>
      <c r="P805" s="2486"/>
      <c r="Q805" s="595">
        <v>0</v>
      </c>
      <c r="R805" s="2478"/>
      <c r="S805" s="2324"/>
      <c r="T805" s="2324"/>
      <c r="U805" s="2324"/>
      <c r="V805" s="2324"/>
      <c r="W805" s="2324"/>
      <c r="X805" s="2324"/>
      <c r="Y805" s="439">
        <f>Q805+S806+U806+W806</f>
        <v>0</v>
      </c>
      <c r="Z805" s="2478"/>
      <c r="AA805" s="439">
        <f>M805+Y805</f>
        <v>5</v>
      </c>
      <c r="AB805" s="2478"/>
      <c r="AC805" s="2480"/>
      <c r="AD805" s="2480"/>
      <c r="AE805" s="2324"/>
    </row>
    <row r="806" spans="1:31" s="63" customFormat="1" ht="75" customHeight="1">
      <c r="A806" s="1898"/>
      <c r="B806" s="1904"/>
      <c r="C806" s="1905">
        <v>1</v>
      </c>
      <c r="D806" s="1905" t="s">
        <v>65</v>
      </c>
      <c r="E806" s="1905" t="s">
        <v>198</v>
      </c>
      <c r="F806" s="1905" t="s">
        <v>66</v>
      </c>
      <c r="G806" s="1905" t="s">
        <v>66</v>
      </c>
      <c r="H806" s="1900" t="s">
        <v>155</v>
      </c>
      <c r="I806" s="58" t="s">
        <v>717</v>
      </c>
      <c r="J806" s="58" t="s">
        <v>718</v>
      </c>
      <c r="K806" s="59">
        <f t="shared" si="197"/>
        <v>72</v>
      </c>
      <c r="L806" s="60">
        <v>18000000</v>
      </c>
      <c r="M806" s="443">
        <f t="shared" si="198"/>
        <v>24</v>
      </c>
      <c r="N806" s="60">
        <v>5360000</v>
      </c>
      <c r="O806" s="59">
        <v>12</v>
      </c>
      <c r="P806" s="60">
        <v>4140000</v>
      </c>
      <c r="Q806" s="443">
        <v>0</v>
      </c>
      <c r="R806" s="60">
        <v>0</v>
      </c>
      <c r="S806" s="59"/>
      <c r="T806" s="59"/>
      <c r="U806" s="59"/>
      <c r="V806" s="59"/>
      <c r="W806" s="59"/>
      <c r="X806" s="59"/>
      <c r="Y806" s="385">
        <f t="shared" si="194"/>
        <v>0</v>
      </c>
      <c r="Z806" s="60">
        <f t="shared" si="194"/>
        <v>0</v>
      </c>
      <c r="AA806" s="385">
        <f t="shared" si="200"/>
        <v>24</v>
      </c>
      <c r="AB806" s="60">
        <f t="shared" si="199"/>
        <v>5360000</v>
      </c>
      <c r="AC806" s="1909">
        <f>(AA806/K806)*100</f>
        <v>33.333333333333329</v>
      </c>
      <c r="AD806" s="62">
        <f t="shared" si="196"/>
        <v>29.777777777777775</v>
      </c>
      <c r="AE806" s="385" t="s">
        <v>694</v>
      </c>
    </row>
    <row r="807" spans="1:31" s="63" customFormat="1" ht="34.5" customHeight="1">
      <c r="A807" s="2323"/>
      <c r="B807" s="2323"/>
      <c r="C807" s="2321">
        <v>1</v>
      </c>
      <c r="D807" s="2321" t="s">
        <v>65</v>
      </c>
      <c r="E807" s="2321" t="s">
        <v>198</v>
      </c>
      <c r="F807" s="2321" t="s">
        <v>66</v>
      </c>
      <c r="G807" s="2321" t="s">
        <v>66</v>
      </c>
      <c r="H807" s="2321" t="s">
        <v>448</v>
      </c>
      <c r="I807" s="2339" t="s">
        <v>719</v>
      </c>
      <c r="J807" s="58" t="s">
        <v>720</v>
      </c>
      <c r="K807" s="2323">
        <f t="shared" si="197"/>
        <v>72</v>
      </c>
      <c r="L807" s="2477">
        <v>120000000</v>
      </c>
      <c r="M807" s="2321">
        <f t="shared" si="198"/>
        <v>24</v>
      </c>
      <c r="N807" s="2477">
        <v>52540000</v>
      </c>
      <c r="O807" s="2323">
        <v>12</v>
      </c>
      <c r="P807" s="2477">
        <v>25900000</v>
      </c>
      <c r="Q807" s="2321">
        <v>3</v>
      </c>
      <c r="R807" s="2477">
        <v>3850000</v>
      </c>
      <c r="S807" s="2323"/>
      <c r="T807" s="2323"/>
      <c r="U807" s="2323"/>
      <c r="V807" s="2323"/>
      <c r="W807" s="2323"/>
      <c r="X807" s="2323"/>
      <c r="Y807" s="2323">
        <f>Q807+S808+U808+W808</f>
        <v>3</v>
      </c>
      <c r="Z807" s="2477">
        <f>R807+T808+V808+X808</f>
        <v>3850000</v>
      </c>
      <c r="AA807" s="2323">
        <f>M807+Y807</f>
        <v>27</v>
      </c>
      <c r="AB807" s="2477">
        <f>N807+Z807</f>
        <v>56390000</v>
      </c>
      <c r="AC807" s="2479">
        <f>(AA807/K807)*100</f>
        <v>37.5</v>
      </c>
      <c r="AD807" s="2479">
        <f>(AB807/L807)*100</f>
        <v>46.991666666666667</v>
      </c>
      <c r="AE807" s="2323" t="s">
        <v>694</v>
      </c>
    </row>
    <row r="808" spans="1:31" s="63" customFormat="1" ht="30.75" customHeight="1">
      <c r="A808" s="2324"/>
      <c r="B808" s="2324"/>
      <c r="C808" s="2322"/>
      <c r="D808" s="2322"/>
      <c r="E808" s="2322"/>
      <c r="F808" s="2322"/>
      <c r="G808" s="2322"/>
      <c r="H808" s="2322"/>
      <c r="I808" s="2340"/>
      <c r="J808" s="58" t="s">
        <v>721</v>
      </c>
      <c r="K808" s="2324"/>
      <c r="L808" s="2478"/>
      <c r="M808" s="2322"/>
      <c r="N808" s="2478"/>
      <c r="O808" s="2324"/>
      <c r="P808" s="2478"/>
      <c r="Q808" s="2322"/>
      <c r="R808" s="2478"/>
      <c r="S808" s="2324"/>
      <c r="T808" s="2324"/>
      <c r="U808" s="2324"/>
      <c r="V808" s="2324"/>
      <c r="W808" s="2324"/>
      <c r="X808" s="2324"/>
      <c r="Y808" s="2324"/>
      <c r="Z808" s="2478"/>
      <c r="AA808" s="2324"/>
      <c r="AB808" s="2478"/>
      <c r="AC808" s="2480"/>
      <c r="AD808" s="2480"/>
      <c r="AE808" s="2324"/>
    </row>
    <row r="809" spans="1:31" s="63" customFormat="1" ht="30.75" customHeight="1">
      <c r="A809" s="2323"/>
      <c r="B809" s="2323"/>
      <c r="C809" s="2321">
        <v>1</v>
      </c>
      <c r="D809" s="2321" t="s">
        <v>65</v>
      </c>
      <c r="E809" s="2321" t="s">
        <v>198</v>
      </c>
      <c r="F809" s="2321" t="s">
        <v>66</v>
      </c>
      <c r="G809" s="2321" t="s">
        <v>66</v>
      </c>
      <c r="H809" s="2321" t="s">
        <v>167</v>
      </c>
      <c r="I809" s="2339" t="s">
        <v>722</v>
      </c>
      <c r="J809" s="58" t="s">
        <v>723</v>
      </c>
      <c r="K809" s="2323">
        <f t="shared" si="197"/>
        <v>72</v>
      </c>
      <c r="L809" s="2477">
        <v>913950000</v>
      </c>
      <c r="M809" s="2321">
        <f t="shared" si="198"/>
        <v>24</v>
      </c>
      <c r="N809" s="2477">
        <v>323125825</v>
      </c>
      <c r="O809" s="2323">
        <v>12</v>
      </c>
      <c r="P809" s="2477">
        <v>114200000</v>
      </c>
      <c r="Q809" s="2321">
        <v>3</v>
      </c>
      <c r="R809" s="2477">
        <v>21088000</v>
      </c>
      <c r="S809" s="2323"/>
      <c r="T809" s="2323"/>
      <c r="U809" s="2323"/>
      <c r="V809" s="2323"/>
      <c r="W809" s="2323"/>
      <c r="X809" s="2323"/>
      <c r="Y809" s="2323">
        <f>Q809+S810+U810+W810</f>
        <v>3</v>
      </c>
      <c r="Z809" s="2477">
        <f>R809+T810+V810+X810</f>
        <v>21088000</v>
      </c>
      <c r="AA809" s="2323">
        <f>M809+Y809</f>
        <v>27</v>
      </c>
      <c r="AB809" s="2477">
        <f>N809+Z809</f>
        <v>344213825</v>
      </c>
      <c r="AC809" s="2479">
        <f>(AA809/K809)*100</f>
        <v>37.5</v>
      </c>
      <c r="AD809" s="2479">
        <f>(AB809/L809)*100</f>
        <v>37.662216204387548</v>
      </c>
      <c r="AE809" s="2323" t="s">
        <v>694</v>
      </c>
    </row>
    <row r="810" spans="1:31" s="63" customFormat="1" ht="25.5">
      <c r="A810" s="2324"/>
      <c r="B810" s="2324"/>
      <c r="C810" s="2322"/>
      <c r="D810" s="2322"/>
      <c r="E810" s="2322"/>
      <c r="F810" s="2322"/>
      <c r="G810" s="2322"/>
      <c r="H810" s="2322"/>
      <c r="I810" s="2340"/>
      <c r="J810" s="58" t="s">
        <v>724</v>
      </c>
      <c r="K810" s="2324"/>
      <c r="L810" s="2478"/>
      <c r="M810" s="2322"/>
      <c r="N810" s="2478"/>
      <c r="O810" s="2324"/>
      <c r="P810" s="2478"/>
      <c r="Q810" s="2322"/>
      <c r="R810" s="2478"/>
      <c r="S810" s="2324"/>
      <c r="T810" s="2324"/>
      <c r="U810" s="2324"/>
      <c r="V810" s="2324"/>
      <c r="W810" s="2324"/>
      <c r="X810" s="2324"/>
      <c r="Y810" s="2324"/>
      <c r="Z810" s="2478"/>
      <c r="AA810" s="2324"/>
      <c r="AB810" s="2478"/>
      <c r="AC810" s="2480"/>
      <c r="AD810" s="2480"/>
      <c r="AE810" s="2324"/>
    </row>
    <row r="811" spans="1:31" s="63" customFormat="1" ht="25.5">
      <c r="A811" s="1898"/>
      <c r="B811" s="1904"/>
      <c r="C811" s="1905">
        <v>1</v>
      </c>
      <c r="D811" s="1905" t="s">
        <v>65</v>
      </c>
      <c r="E811" s="1905" t="s">
        <v>198</v>
      </c>
      <c r="F811" s="1905" t="s">
        <v>66</v>
      </c>
      <c r="G811" s="1905" t="s">
        <v>66</v>
      </c>
      <c r="H811" s="1900" t="s">
        <v>376</v>
      </c>
      <c r="I811" s="58" t="s">
        <v>725</v>
      </c>
      <c r="J811" s="58" t="s">
        <v>726</v>
      </c>
      <c r="K811" s="59">
        <f t="shared" si="197"/>
        <v>72</v>
      </c>
      <c r="L811" s="60">
        <v>332100000</v>
      </c>
      <c r="M811" s="443">
        <f t="shared" si="198"/>
        <v>24</v>
      </c>
      <c r="N811" s="635">
        <v>77460000</v>
      </c>
      <c r="O811" s="59">
        <v>12</v>
      </c>
      <c r="P811" s="60">
        <v>57900000</v>
      </c>
      <c r="Q811" s="443">
        <v>3</v>
      </c>
      <c r="R811" s="60">
        <v>9300000</v>
      </c>
      <c r="S811" s="59"/>
      <c r="T811" s="59"/>
      <c r="U811" s="59"/>
      <c r="V811" s="59"/>
      <c r="W811" s="59"/>
      <c r="X811" s="59"/>
      <c r="Y811" s="59">
        <f t="shared" si="194"/>
        <v>3</v>
      </c>
      <c r="Z811" s="60">
        <f t="shared" si="194"/>
        <v>9300000</v>
      </c>
      <c r="AA811" s="59">
        <f t="shared" si="200"/>
        <v>27</v>
      </c>
      <c r="AB811" s="60">
        <f t="shared" si="199"/>
        <v>86760000</v>
      </c>
      <c r="AC811" s="1909">
        <f t="shared" si="196"/>
        <v>37.5</v>
      </c>
      <c r="AD811" s="62">
        <f t="shared" si="196"/>
        <v>26.124661246612469</v>
      </c>
      <c r="AE811" s="385" t="s">
        <v>694</v>
      </c>
    </row>
    <row r="812" spans="1:31" s="145" customFormat="1" ht="40.5" customHeight="1">
      <c r="A812" s="1907"/>
      <c r="B812" s="495"/>
      <c r="C812" s="623">
        <v>1</v>
      </c>
      <c r="D812" s="623" t="s">
        <v>65</v>
      </c>
      <c r="E812" s="623" t="s">
        <v>198</v>
      </c>
      <c r="F812" s="623" t="s">
        <v>66</v>
      </c>
      <c r="G812" s="623" t="s">
        <v>65</v>
      </c>
      <c r="H812" s="627"/>
      <c r="I812" s="57" t="s">
        <v>770</v>
      </c>
      <c r="J812" s="57">
        <v>3</v>
      </c>
      <c r="K812" s="630">
        <f t="shared" ref="K812:AE812" si="201">K815</f>
        <v>1</v>
      </c>
      <c r="L812" s="632">
        <f>L813</f>
        <v>1000000000</v>
      </c>
      <c r="M812" s="636">
        <f t="shared" si="201"/>
        <v>0</v>
      </c>
      <c r="N812" s="637">
        <f>N813</f>
        <v>38300000</v>
      </c>
      <c r="O812" s="630">
        <f t="shared" si="201"/>
        <v>1</v>
      </c>
      <c r="P812" s="632">
        <f>P813</f>
        <v>34525000</v>
      </c>
      <c r="Q812" s="636">
        <f t="shared" si="201"/>
        <v>0</v>
      </c>
      <c r="R812" s="632">
        <f>R813</f>
        <v>1500000</v>
      </c>
      <c r="S812" s="630">
        <f t="shared" si="201"/>
        <v>0</v>
      </c>
      <c r="T812" s="630">
        <f t="shared" si="201"/>
        <v>0</v>
      </c>
      <c r="U812" s="630">
        <f t="shared" si="201"/>
        <v>0</v>
      </c>
      <c r="V812" s="630">
        <f t="shared" si="201"/>
        <v>0</v>
      </c>
      <c r="W812" s="630">
        <f t="shared" si="201"/>
        <v>0</v>
      </c>
      <c r="X812" s="630">
        <f t="shared" si="201"/>
        <v>0</v>
      </c>
      <c r="Y812" s="630">
        <f t="shared" si="201"/>
        <v>0</v>
      </c>
      <c r="Z812" s="632">
        <f>Z813</f>
        <v>1500000</v>
      </c>
      <c r="AA812" s="630">
        <f t="shared" si="201"/>
        <v>0</v>
      </c>
      <c r="AB812" s="632">
        <f>AB813</f>
        <v>39800000</v>
      </c>
      <c r="AC812" s="626">
        <f t="shared" si="201"/>
        <v>0</v>
      </c>
      <c r="AD812" s="638">
        <f>AD813</f>
        <v>3.9800000000000004</v>
      </c>
      <c r="AE812" s="616" t="str">
        <f t="shared" si="201"/>
        <v>DPMDPPKB</v>
      </c>
    </row>
    <row r="813" spans="1:31" s="145" customFormat="1">
      <c r="A813" s="2384"/>
      <c r="B813" s="2384"/>
      <c r="C813" s="2321">
        <v>1</v>
      </c>
      <c r="D813" s="2321" t="s">
        <v>65</v>
      </c>
      <c r="E813" s="2321" t="s">
        <v>198</v>
      </c>
      <c r="F813" s="2321" t="s">
        <v>66</v>
      </c>
      <c r="G813" s="2321" t="s">
        <v>65</v>
      </c>
      <c r="H813" s="2321">
        <v>22</v>
      </c>
      <c r="I813" s="2339" t="s">
        <v>727</v>
      </c>
      <c r="J813" s="58" t="s">
        <v>728</v>
      </c>
      <c r="K813" s="630">
        <v>1</v>
      </c>
      <c r="L813" s="2477">
        <f>1000000000</f>
        <v>1000000000</v>
      </c>
      <c r="M813" s="636">
        <v>0</v>
      </c>
      <c r="N813" s="2489">
        <v>38300000</v>
      </c>
      <c r="O813" s="630">
        <v>1</v>
      </c>
      <c r="P813" s="2477">
        <v>34525000</v>
      </c>
      <c r="Q813" s="636">
        <v>1</v>
      </c>
      <c r="R813" s="2477">
        <v>1500000</v>
      </c>
      <c r="S813" s="630"/>
      <c r="T813" s="2384"/>
      <c r="U813" s="630"/>
      <c r="V813" s="2384"/>
      <c r="W813" s="630"/>
      <c r="X813" s="2384"/>
      <c r="Y813" s="59">
        <f t="shared" ref="Y813:Y815" si="202">Q813+S813+U813+W813</f>
        <v>1</v>
      </c>
      <c r="Z813" s="2477">
        <f>R813+T815+V815+X815</f>
        <v>1500000</v>
      </c>
      <c r="AA813" s="59">
        <f t="shared" ref="AA813:AA815" si="203">M813+Y813</f>
        <v>1</v>
      </c>
      <c r="AB813" s="2477">
        <f>N813+Z813</f>
        <v>39800000</v>
      </c>
      <c r="AC813" s="1909">
        <f t="shared" ref="AC813:AC815" si="204">(AA813/K813)*100</f>
        <v>100</v>
      </c>
      <c r="AD813" s="2479">
        <f>(AB813/L813)*100</f>
        <v>3.9800000000000004</v>
      </c>
      <c r="AE813" s="616"/>
    </row>
    <row r="814" spans="1:31" s="63" customFormat="1">
      <c r="A814" s="2385"/>
      <c r="B814" s="2385"/>
      <c r="C814" s="2382"/>
      <c r="D814" s="2382"/>
      <c r="E814" s="2382"/>
      <c r="F814" s="2382"/>
      <c r="G814" s="2382"/>
      <c r="H814" s="2382"/>
      <c r="I814" s="2383"/>
      <c r="J814" s="58" t="s">
        <v>729</v>
      </c>
      <c r="K814" s="59">
        <v>2</v>
      </c>
      <c r="L814" s="2484"/>
      <c r="M814" s="443">
        <v>0</v>
      </c>
      <c r="N814" s="2490"/>
      <c r="O814" s="59">
        <v>2</v>
      </c>
      <c r="P814" s="2484"/>
      <c r="Q814" s="443">
        <v>0</v>
      </c>
      <c r="R814" s="2484"/>
      <c r="S814" s="59"/>
      <c r="T814" s="2385"/>
      <c r="U814" s="59"/>
      <c r="V814" s="2385"/>
      <c r="W814" s="59"/>
      <c r="X814" s="2385"/>
      <c r="Y814" s="59">
        <f t="shared" si="202"/>
        <v>0</v>
      </c>
      <c r="Z814" s="2484"/>
      <c r="AA814" s="59">
        <f t="shared" si="203"/>
        <v>0</v>
      </c>
      <c r="AB814" s="2484"/>
      <c r="AC814" s="1909">
        <f t="shared" si="204"/>
        <v>0</v>
      </c>
      <c r="AD814" s="2488"/>
      <c r="AE814" s="385"/>
    </row>
    <row r="815" spans="1:31" s="63" customFormat="1" ht="36.75" customHeight="1">
      <c r="A815" s="2386"/>
      <c r="B815" s="2386"/>
      <c r="C815" s="2322"/>
      <c r="D815" s="2322"/>
      <c r="E815" s="2322"/>
      <c r="F815" s="2322"/>
      <c r="G815" s="2322"/>
      <c r="H815" s="2322"/>
      <c r="I815" s="2340"/>
      <c r="J815" s="384" t="s">
        <v>730</v>
      </c>
      <c r="K815" s="59">
        <v>1</v>
      </c>
      <c r="L815" s="2478"/>
      <c r="M815" s="443">
        <v>0</v>
      </c>
      <c r="N815" s="2491"/>
      <c r="O815" s="59">
        <v>1</v>
      </c>
      <c r="P815" s="2478"/>
      <c r="Q815" s="443">
        <v>0</v>
      </c>
      <c r="R815" s="2478"/>
      <c r="S815" s="59"/>
      <c r="T815" s="2386"/>
      <c r="U815" s="59"/>
      <c r="V815" s="2386"/>
      <c r="W815" s="59"/>
      <c r="X815" s="2386"/>
      <c r="Y815" s="59">
        <f t="shared" si="202"/>
        <v>0</v>
      </c>
      <c r="Z815" s="2478"/>
      <c r="AA815" s="59">
        <f t="shared" si="203"/>
        <v>0</v>
      </c>
      <c r="AB815" s="2478"/>
      <c r="AC815" s="1909">
        <f t="shared" si="204"/>
        <v>0</v>
      </c>
      <c r="AD815" s="2480"/>
      <c r="AE815" s="385" t="s">
        <v>694</v>
      </c>
    </row>
    <row r="816" spans="1:31" s="642" customFormat="1" ht="38.25">
      <c r="A816" s="1855"/>
      <c r="B816" s="1855"/>
      <c r="C816" s="623">
        <v>1</v>
      </c>
      <c r="D816" s="623" t="s">
        <v>65</v>
      </c>
      <c r="E816" s="623" t="s">
        <v>198</v>
      </c>
      <c r="F816" s="623" t="s">
        <v>66</v>
      </c>
      <c r="G816" s="623" t="s">
        <v>155</v>
      </c>
      <c r="H816" s="1855"/>
      <c r="I816" s="618" t="s">
        <v>731</v>
      </c>
      <c r="J816" s="1855"/>
      <c r="K816" s="1855">
        <f>SUM(K817+K818+K819)</f>
        <v>740</v>
      </c>
      <c r="L816" s="640">
        <f>SUM(L817:L819)</f>
        <v>1570294000</v>
      </c>
      <c r="M816" s="1855">
        <f>SUM(M817+M818+M819)</f>
        <v>4</v>
      </c>
      <c r="N816" s="641">
        <f t="shared" ref="N816:AD816" si="205">SUM(N817+N818+N819)</f>
        <v>272600404</v>
      </c>
      <c r="O816" s="1855">
        <f>SUM(O817+O818+O819)</f>
        <v>36</v>
      </c>
      <c r="P816" s="641">
        <f t="shared" si="205"/>
        <v>366564859</v>
      </c>
      <c r="Q816" s="1855">
        <f t="shared" si="205"/>
        <v>0</v>
      </c>
      <c r="R816" s="1855">
        <f t="shared" si="205"/>
        <v>13577110</v>
      </c>
      <c r="S816" s="1855">
        <f t="shared" si="205"/>
        <v>0</v>
      </c>
      <c r="T816" s="1855">
        <f t="shared" si="205"/>
        <v>0</v>
      </c>
      <c r="U816" s="1855">
        <f t="shared" si="205"/>
        <v>0</v>
      </c>
      <c r="V816" s="1855">
        <f t="shared" si="205"/>
        <v>0</v>
      </c>
      <c r="W816" s="1855">
        <f t="shared" si="205"/>
        <v>0</v>
      </c>
      <c r="X816" s="1855">
        <f t="shared" si="205"/>
        <v>0</v>
      </c>
      <c r="Y816" s="1855">
        <f t="shared" si="205"/>
        <v>0</v>
      </c>
      <c r="Z816" s="1855">
        <f t="shared" si="205"/>
        <v>13577110</v>
      </c>
      <c r="AA816" s="1855">
        <f t="shared" si="205"/>
        <v>4</v>
      </c>
      <c r="AB816" s="1855">
        <f t="shared" si="205"/>
        <v>286177514</v>
      </c>
      <c r="AC816" s="1855">
        <f t="shared" si="205"/>
        <v>66.666666666666657</v>
      </c>
      <c r="AD816" s="1855">
        <f t="shared" si="205"/>
        <v>47.907959269124085</v>
      </c>
      <c r="AE816" s="1855" t="str">
        <f>AE817</f>
        <v>DPMDPPKB</v>
      </c>
    </row>
    <row r="817" spans="1:31" s="639" customFormat="1" ht="51">
      <c r="A817" s="1855"/>
      <c r="B817" s="1906" t="s">
        <v>732</v>
      </c>
      <c r="C817" s="1905">
        <v>1</v>
      </c>
      <c r="D817" s="1905" t="s">
        <v>65</v>
      </c>
      <c r="E817" s="1905" t="s">
        <v>198</v>
      </c>
      <c r="F817" s="1905" t="s">
        <v>66</v>
      </c>
      <c r="G817" s="1905" t="s">
        <v>155</v>
      </c>
      <c r="H817" s="643" t="s">
        <v>95</v>
      </c>
      <c r="I817" s="1906" t="s">
        <v>733</v>
      </c>
      <c r="J817" s="1906" t="s">
        <v>734</v>
      </c>
      <c r="K817" s="59">
        <f>1*6</f>
        <v>6</v>
      </c>
      <c r="L817" s="60">
        <v>445294000</v>
      </c>
      <c r="M817" s="443">
        <v>2</v>
      </c>
      <c r="N817" s="635">
        <v>95024299</v>
      </c>
      <c r="O817" s="59">
        <v>12</v>
      </c>
      <c r="P817" s="60">
        <v>200000000</v>
      </c>
      <c r="Q817" s="443">
        <v>0</v>
      </c>
      <c r="R817" s="60">
        <v>80200</v>
      </c>
      <c r="S817" s="59"/>
      <c r="T817" s="59"/>
      <c r="U817" s="59"/>
      <c r="V817" s="59"/>
      <c r="W817" s="59"/>
      <c r="X817" s="59"/>
      <c r="Y817" s="59">
        <f t="shared" ref="Y817:Z819" si="206">Q817+S817+U817+W817</f>
        <v>0</v>
      </c>
      <c r="Z817" s="60">
        <f t="shared" si="206"/>
        <v>80200</v>
      </c>
      <c r="AA817" s="59">
        <f t="shared" ref="AA817:AB819" si="207">M817+Y817</f>
        <v>2</v>
      </c>
      <c r="AB817" s="60">
        <f t="shared" si="207"/>
        <v>95104499</v>
      </c>
      <c r="AC817" s="1909">
        <f t="shared" ref="AC817:AD818" si="208">(AA817/K817)*100</f>
        <v>33.333333333333329</v>
      </c>
      <c r="AD817" s="62">
        <f t="shared" si="208"/>
        <v>21.357687056192091</v>
      </c>
      <c r="AE817" s="385" t="s">
        <v>694</v>
      </c>
    </row>
    <row r="818" spans="1:31" s="639" customFormat="1" ht="38.25">
      <c r="A818" s="1855"/>
      <c r="B818" s="1906" t="s">
        <v>735</v>
      </c>
      <c r="C818" s="1905">
        <v>1</v>
      </c>
      <c r="D818" s="1905" t="s">
        <v>65</v>
      </c>
      <c r="E818" s="1905" t="s">
        <v>198</v>
      </c>
      <c r="F818" s="1905" t="s">
        <v>66</v>
      </c>
      <c r="G818" s="1905" t="s">
        <v>155</v>
      </c>
      <c r="H818" s="643" t="s">
        <v>161</v>
      </c>
      <c r="I818" s="1906" t="s">
        <v>736</v>
      </c>
      <c r="J818" s="1892" t="s">
        <v>737</v>
      </c>
      <c r="K818" s="59">
        <f>182*4</f>
        <v>728</v>
      </c>
      <c r="L818" s="60">
        <v>345000000</v>
      </c>
      <c r="M818" s="443">
        <v>0</v>
      </c>
      <c r="N818" s="635">
        <v>0</v>
      </c>
      <c r="O818" s="59">
        <v>12</v>
      </c>
      <c r="P818" s="60">
        <v>72803055</v>
      </c>
      <c r="Q818" s="443">
        <v>0</v>
      </c>
      <c r="R818" s="60">
        <v>12704810</v>
      </c>
      <c r="S818" s="59"/>
      <c r="T818" s="59"/>
      <c r="U818" s="59"/>
      <c r="V818" s="59"/>
      <c r="W818" s="59"/>
      <c r="X818" s="59"/>
      <c r="Y818" s="59">
        <f t="shared" si="206"/>
        <v>0</v>
      </c>
      <c r="Z818" s="60">
        <f t="shared" si="206"/>
        <v>12704810</v>
      </c>
      <c r="AA818" s="59">
        <f t="shared" si="207"/>
        <v>0</v>
      </c>
      <c r="AB818" s="60">
        <f t="shared" si="207"/>
        <v>12704810</v>
      </c>
      <c r="AC818" s="1909">
        <f t="shared" si="208"/>
        <v>0</v>
      </c>
      <c r="AD818" s="62">
        <f>(AB818/L818)*100</f>
        <v>3.6825536231884062</v>
      </c>
      <c r="AE818" s="385" t="s">
        <v>694</v>
      </c>
    </row>
    <row r="819" spans="1:31" s="639" customFormat="1" ht="38.25">
      <c r="A819" s="1855"/>
      <c r="B819" s="1906" t="s">
        <v>732</v>
      </c>
      <c r="C819" s="1905">
        <v>1</v>
      </c>
      <c r="D819" s="1905" t="s">
        <v>65</v>
      </c>
      <c r="E819" s="1905" t="s">
        <v>198</v>
      </c>
      <c r="F819" s="1905" t="s">
        <v>66</v>
      </c>
      <c r="G819" s="1905" t="s">
        <v>155</v>
      </c>
      <c r="H819" s="643" t="s">
        <v>160</v>
      </c>
      <c r="I819" s="1906" t="s">
        <v>738</v>
      </c>
      <c r="J819" s="1906" t="s">
        <v>739</v>
      </c>
      <c r="K819" s="59">
        <v>6</v>
      </c>
      <c r="L819" s="60">
        <v>780000000</v>
      </c>
      <c r="M819" s="443">
        <v>2</v>
      </c>
      <c r="N819" s="635">
        <v>177576105</v>
      </c>
      <c r="O819" s="59">
        <v>12</v>
      </c>
      <c r="P819" s="60">
        <v>93761804</v>
      </c>
      <c r="Q819" s="443">
        <v>0</v>
      </c>
      <c r="R819" s="60">
        <v>792100</v>
      </c>
      <c r="S819" s="59"/>
      <c r="T819" s="59"/>
      <c r="U819" s="59"/>
      <c r="V819" s="59"/>
      <c r="W819" s="59"/>
      <c r="X819" s="59"/>
      <c r="Y819" s="59">
        <f t="shared" si="206"/>
        <v>0</v>
      </c>
      <c r="Z819" s="60">
        <f t="shared" si="206"/>
        <v>792100</v>
      </c>
      <c r="AA819" s="59">
        <f t="shared" si="207"/>
        <v>2</v>
      </c>
      <c r="AB819" s="60">
        <f>N819+Z819</f>
        <v>178368205</v>
      </c>
      <c r="AC819" s="1909">
        <f>(AA819/K819)*100</f>
        <v>33.333333333333329</v>
      </c>
      <c r="AD819" s="62">
        <f t="shared" ref="AD819" si="209">(AB819/L819)*100</f>
        <v>22.867718589743589</v>
      </c>
      <c r="AE819" s="385" t="s">
        <v>694</v>
      </c>
    </row>
    <row r="820" spans="1:31" s="642" customFormat="1" ht="38.25">
      <c r="A820" s="1855"/>
      <c r="B820" s="1855"/>
      <c r="C820" s="623">
        <v>1</v>
      </c>
      <c r="D820" s="623" t="s">
        <v>65</v>
      </c>
      <c r="E820" s="623" t="s">
        <v>198</v>
      </c>
      <c r="F820" s="623" t="s">
        <v>66</v>
      </c>
      <c r="G820" s="623" t="s">
        <v>166</v>
      </c>
      <c r="H820" s="1855"/>
      <c r="I820" s="618" t="s">
        <v>740</v>
      </c>
      <c r="J820" s="1855"/>
      <c r="K820" s="1855"/>
      <c r="L820" s="640">
        <f>L821</f>
        <v>818882800</v>
      </c>
      <c r="M820" s="1855"/>
      <c r="N820" s="641">
        <f>N821</f>
        <v>81421392</v>
      </c>
      <c r="O820" s="1855"/>
      <c r="P820" s="641">
        <f>P821</f>
        <v>163776560</v>
      </c>
      <c r="Q820" s="1855"/>
      <c r="R820" s="1855"/>
      <c r="S820" s="1855"/>
      <c r="T820" s="1855"/>
      <c r="U820" s="1855"/>
      <c r="V820" s="1855"/>
      <c r="W820" s="1855"/>
      <c r="X820" s="1855"/>
      <c r="Y820" s="1855"/>
      <c r="Z820" s="1855"/>
      <c r="AA820" s="1855"/>
      <c r="AB820" s="640">
        <f>AB821</f>
        <v>101628464</v>
      </c>
      <c r="AC820" s="495"/>
      <c r="AD820" s="495"/>
      <c r="AE820" s="616"/>
    </row>
    <row r="821" spans="1:31" s="63" customFormat="1" ht="38.25">
      <c r="A821" s="1904"/>
      <c r="B821" s="1904"/>
      <c r="C821" s="1905">
        <v>1</v>
      </c>
      <c r="D821" s="1905" t="s">
        <v>65</v>
      </c>
      <c r="E821" s="1905" t="s">
        <v>198</v>
      </c>
      <c r="F821" s="1905" t="s">
        <v>66</v>
      </c>
      <c r="G821" s="1905" t="s">
        <v>166</v>
      </c>
      <c r="H821" s="643" t="s">
        <v>65</v>
      </c>
      <c r="I821" s="384" t="s">
        <v>741</v>
      </c>
      <c r="J821" s="384" t="s">
        <v>742</v>
      </c>
      <c r="K821" s="59">
        <f>1*5</f>
        <v>5</v>
      </c>
      <c r="L821" s="60">
        <f>P821*5</f>
        <v>818882800</v>
      </c>
      <c r="M821" s="443">
        <v>1</v>
      </c>
      <c r="N821" s="635">
        <v>81421392</v>
      </c>
      <c r="O821" s="59">
        <v>12</v>
      </c>
      <c r="P821" s="60">
        <v>163776560</v>
      </c>
      <c r="Q821" s="443">
        <v>0</v>
      </c>
      <c r="R821" s="60">
        <v>20207072</v>
      </c>
      <c r="S821" s="59"/>
      <c r="T821" s="59"/>
      <c r="U821" s="59"/>
      <c r="V821" s="59"/>
      <c r="W821" s="59"/>
      <c r="X821" s="59"/>
      <c r="Y821" s="59">
        <f t="shared" ref="Y821:Z821" si="210">Q821+S821+U821+W821</f>
        <v>0</v>
      </c>
      <c r="Z821" s="60">
        <f t="shared" si="210"/>
        <v>20207072</v>
      </c>
      <c r="AA821" s="59">
        <f t="shared" ref="AA821:AB821" si="211">M821+Y821</f>
        <v>1</v>
      </c>
      <c r="AB821" s="60">
        <f t="shared" si="211"/>
        <v>101628464</v>
      </c>
      <c r="AC821" s="1909">
        <f t="shared" ref="AC821:AD823" si="212">(AA821/K821)*100</f>
        <v>20</v>
      </c>
      <c r="AD821" s="62">
        <f t="shared" si="212"/>
        <v>12.410623840188121</v>
      </c>
      <c r="AE821" s="385" t="s">
        <v>694</v>
      </c>
    </row>
    <row r="822" spans="1:31" s="145" customFormat="1" ht="51">
      <c r="A822" s="495"/>
      <c r="B822" s="495"/>
      <c r="C822" s="623">
        <v>1</v>
      </c>
      <c r="D822" s="623" t="s">
        <v>65</v>
      </c>
      <c r="E822" s="623" t="s">
        <v>198</v>
      </c>
      <c r="F822" s="623" t="s">
        <v>66</v>
      </c>
      <c r="G822" s="623" t="s">
        <v>448</v>
      </c>
      <c r="H822" s="644"/>
      <c r="I822" s="383" t="s">
        <v>743</v>
      </c>
      <c r="J822" s="383"/>
      <c r="K822" s="630"/>
      <c r="L822" s="632">
        <f>SUM(L823)</f>
        <v>800000000</v>
      </c>
      <c r="M822" s="636"/>
      <c r="N822" s="632">
        <f>SUM(N823)</f>
        <v>120000000</v>
      </c>
      <c r="O822" s="630"/>
      <c r="P822" s="632">
        <f>SUM(P823)</f>
        <v>234014830</v>
      </c>
      <c r="Q822" s="636"/>
      <c r="R822" s="632">
        <f>SUM(R823)</f>
        <v>852000</v>
      </c>
      <c r="S822" s="630"/>
      <c r="T822" s="630"/>
      <c r="U822" s="630"/>
      <c r="V822" s="630"/>
      <c r="W822" s="630"/>
      <c r="X822" s="630"/>
      <c r="Y822" s="630"/>
      <c r="Z822" s="632"/>
      <c r="AA822" s="630"/>
      <c r="AB822" s="632">
        <f>AB823</f>
        <v>120852000</v>
      </c>
      <c r="AC822" s="626"/>
      <c r="AD822" s="638">
        <f t="shared" si="212"/>
        <v>15.1065</v>
      </c>
      <c r="AE822" s="616" t="s">
        <v>694</v>
      </c>
    </row>
    <row r="823" spans="1:31" s="63" customFormat="1" ht="25.5">
      <c r="A823" s="1904"/>
      <c r="B823" s="1904"/>
      <c r="C823" s="1905">
        <v>1</v>
      </c>
      <c r="D823" s="1905" t="s">
        <v>65</v>
      </c>
      <c r="E823" s="1905" t="s">
        <v>198</v>
      </c>
      <c r="F823" s="1905" t="s">
        <v>66</v>
      </c>
      <c r="G823" s="1905" t="s">
        <v>448</v>
      </c>
      <c r="H823" s="643" t="s">
        <v>65</v>
      </c>
      <c r="I823" s="384" t="s">
        <v>744</v>
      </c>
      <c r="J823" s="384" t="s">
        <v>745</v>
      </c>
      <c r="K823" s="59">
        <f>4</f>
        <v>4</v>
      </c>
      <c r="L823" s="60">
        <v>800000000</v>
      </c>
      <c r="M823" s="443">
        <v>1</v>
      </c>
      <c r="N823" s="635">
        <v>120000000</v>
      </c>
      <c r="O823" s="59">
        <v>12</v>
      </c>
      <c r="P823" s="60">
        <v>234014830</v>
      </c>
      <c r="Q823" s="443">
        <v>0</v>
      </c>
      <c r="R823" s="60">
        <v>852000</v>
      </c>
      <c r="S823" s="59"/>
      <c r="T823" s="59"/>
      <c r="U823" s="59"/>
      <c r="V823" s="59"/>
      <c r="W823" s="59"/>
      <c r="X823" s="59"/>
      <c r="Y823" s="59">
        <f t="shared" ref="Y823:Z828" si="213">Q823+S823+U823+W823</f>
        <v>0</v>
      </c>
      <c r="Z823" s="60">
        <f t="shared" si="213"/>
        <v>852000</v>
      </c>
      <c r="AA823" s="59">
        <f t="shared" ref="AA823:AB828" si="214">M823+Y823</f>
        <v>1</v>
      </c>
      <c r="AB823" s="60">
        <f t="shared" si="214"/>
        <v>120852000</v>
      </c>
      <c r="AC823" s="1909">
        <f t="shared" ref="AC823:AD828" si="215">(AA823/K823)*100</f>
        <v>25</v>
      </c>
      <c r="AD823" s="62">
        <f t="shared" si="212"/>
        <v>15.1065</v>
      </c>
      <c r="AE823" s="385" t="s">
        <v>694</v>
      </c>
    </row>
    <row r="824" spans="1:31" s="145" customFormat="1" ht="38.25">
      <c r="A824" s="495"/>
      <c r="B824" s="495"/>
      <c r="C824" s="623">
        <v>1</v>
      </c>
      <c r="D824" s="623" t="s">
        <v>65</v>
      </c>
      <c r="E824" s="623" t="s">
        <v>198</v>
      </c>
      <c r="F824" s="623" t="s">
        <v>66</v>
      </c>
      <c r="G824" s="623" t="s">
        <v>515</v>
      </c>
      <c r="H824" s="644"/>
      <c r="I824" s="383" t="s">
        <v>746</v>
      </c>
      <c r="J824" s="383"/>
      <c r="K824" s="630"/>
      <c r="L824" s="632">
        <f>SUM(L825+L826+L827+L828)</f>
        <v>4443226668</v>
      </c>
      <c r="M824" s="636"/>
      <c r="N824" s="632">
        <f>SUM(N825+N826+N827+N828)</f>
        <v>212987662</v>
      </c>
      <c r="O824" s="630"/>
      <c r="P824" s="632">
        <f>SUM(P825+P826+P827+P828)</f>
        <v>1043000678</v>
      </c>
      <c r="Q824" s="636"/>
      <c r="R824" s="632">
        <f>SUM(R825+R826+R827+R828)</f>
        <v>83203350</v>
      </c>
      <c r="S824" s="630"/>
      <c r="T824" s="630"/>
      <c r="U824" s="630"/>
      <c r="V824" s="630"/>
      <c r="W824" s="630"/>
      <c r="X824" s="630"/>
      <c r="Y824" s="630"/>
      <c r="Z824" s="632"/>
      <c r="AA824" s="630"/>
      <c r="AB824" s="632">
        <f>AB825+AB826+AB827+AB828</f>
        <v>296191012</v>
      </c>
      <c r="AC824" s="626"/>
      <c r="AD824" s="638"/>
      <c r="AE824" s="616" t="s">
        <v>694</v>
      </c>
    </row>
    <row r="825" spans="1:31" s="63" customFormat="1" ht="25.5">
      <c r="A825" s="1904"/>
      <c r="B825" s="1904"/>
      <c r="C825" s="1905">
        <v>1</v>
      </c>
      <c r="D825" s="1905" t="s">
        <v>65</v>
      </c>
      <c r="E825" s="1905" t="s">
        <v>198</v>
      </c>
      <c r="F825" s="1905" t="s">
        <v>66</v>
      </c>
      <c r="G825" s="1905" t="s">
        <v>515</v>
      </c>
      <c r="H825" s="643" t="s">
        <v>196</v>
      </c>
      <c r="I825" s="384" t="s">
        <v>747</v>
      </c>
      <c r="J825" s="384" t="s">
        <v>748</v>
      </c>
      <c r="K825" s="59">
        <v>182</v>
      </c>
      <c r="L825" s="60">
        <v>3000000000</v>
      </c>
      <c r="M825" s="443">
        <v>40</v>
      </c>
      <c r="N825" s="635">
        <v>84435815</v>
      </c>
      <c r="O825" s="59">
        <v>12</v>
      </c>
      <c r="P825" s="60">
        <v>815298700</v>
      </c>
      <c r="Q825" s="443">
        <v>0</v>
      </c>
      <c r="R825" s="60">
        <v>56429300</v>
      </c>
      <c r="S825" s="59"/>
      <c r="T825" s="59"/>
      <c r="U825" s="59"/>
      <c r="V825" s="59"/>
      <c r="W825" s="59"/>
      <c r="X825" s="59"/>
      <c r="Y825" s="59">
        <f t="shared" si="213"/>
        <v>0</v>
      </c>
      <c r="Z825" s="60">
        <f>R825+T825+V825+X825</f>
        <v>56429300</v>
      </c>
      <c r="AA825" s="59">
        <f t="shared" si="214"/>
        <v>40</v>
      </c>
      <c r="AB825" s="60">
        <f>N825+Z825</f>
        <v>140865115</v>
      </c>
      <c r="AC825" s="1909">
        <f t="shared" si="215"/>
        <v>21.978021978021978</v>
      </c>
      <c r="AD825" s="62">
        <f>(AB825/L825)*100</f>
        <v>4.6955038333333334</v>
      </c>
      <c r="AE825" s="385" t="s">
        <v>694</v>
      </c>
    </row>
    <row r="826" spans="1:31" s="63" customFormat="1" ht="25.5">
      <c r="A826" s="1904"/>
      <c r="B826" s="1904"/>
      <c r="C826" s="1905">
        <v>1</v>
      </c>
      <c r="D826" s="1905" t="s">
        <v>65</v>
      </c>
      <c r="E826" s="1905" t="s">
        <v>198</v>
      </c>
      <c r="F826" s="1905" t="s">
        <v>66</v>
      </c>
      <c r="G826" s="1905" t="s">
        <v>515</v>
      </c>
      <c r="H826" s="643" t="s">
        <v>95</v>
      </c>
      <c r="I826" s="384" t="s">
        <v>749</v>
      </c>
      <c r="J826" s="384" t="s">
        <v>750</v>
      </c>
      <c r="K826" s="59">
        <v>182</v>
      </c>
      <c r="L826" s="60">
        <v>658577400</v>
      </c>
      <c r="M826" s="443">
        <v>54</v>
      </c>
      <c r="N826" s="635">
        <v>128551847</v>
      </c>
      <c r="O826" s="59">
        <v>90</v>
      </c>
      <c r="P826" s="60">
        <v>151979000</v>
      </c>
      <c r="Q826" s="443">
        <v>12</v>
      </c>
      <c r="R826" s="60">
        <v>23457050</v>
      </c>
      <c r="S826" s="59"/>
      <c r="T826" s="59"/>
      <c r="U826" s="59"/>
      <c r="V826" s="59"/>
      <c r="W826" s="59"/>
      <c r="X826" s="59"/>
      <c r="Y826" s="59">
        <f t="shared" si="213"/>
        <v>12</v>
      </c>
      <c r="Z826" s="60">
        <f t="shared" si="213"/>
        <v>23457050</v>
      </c>
      <c r="AA826" s="59">
        <f t="shared" si="214"/>
        <v>66</v>
      </c>
      <c r="AB826" s="60">
        <f t="shared" si="214"/>
        <v>152008897</v>
      </c>
      <c r="AC826" s="1909">
        <f t="shared" si="215"/>
        <v>36.263736263736263</v>
      </c>
      <c r="AD826" s="62">
        <f t="shared" si="215"/>
        <v>23.0814019734051</v>
      </c>
      <c r="AE826" s="385" t="s">
        <v>694</v>
      </c>
    </row>
    <row r="827" spans="1:31" s="63" customFormat="1" ht="38.25">
      <c r="A827" s="1904"/>
      <c r="B827" s="1904"/>
      <c r="C827" s="1905">
        <v>1</v>
      </c>
      <c r="D827" s="1905" t="s">
        <v>65</v>
      </c>
      <c r="E827" s="1905" t="s">
        <v>198</v>
      </c>
      <c r="F827" s="1905" t="s">
        <v>66</v>
      </c>
      <c r="G827" s="1905" t="s">
        <v>515</v>
      </c>
      <c r="H827" s="643" t="s">
        <v>391</v>
      </c>
      <c r="I827" s="384" t="s">
        <v>751</v>
      </c>
      <c r="J827" s="384" t="s">
        <v>752</v>
      </c>
      <c r="K827" s="59">
        <f>4*6</f>
        <v>24</v>
      </c>
      <c r="L827" s="60">
        <f>P827*6</f>
        <v>244649268</v>
      </c>
      <c r="M827" s="443">
        <v>8</v>
      </c>
      <c r="N827" s="635">
        <v>0</v>
      </c>
      <c r="O827" s="59">
        <v>12</v>
      </c>
      <c r="P827" s="60">
        <v>40774878</v>
      </c>
      <c r="Q827" s="443">
        <v>0</v>
      </c>
      <c r="R827" s="60">
        <v>0</v>
      </c>
      <c r="S827" s="59"/>
      <c r="T827" s="59"/>
      <c r="U827" s="59"/>
      <c r="V827" s="59"/>
      <c r="W827" s="59"/>
      <c r="X827" s="59"/>
      <c r="Y827" s="59">
        <v>4</v>
      </c>
      <c r="Z827" s="60">
        <f t="shared" si="213"/>
        <v>0</v>
      </c>
      <c r="AA827" s="59">
        <f>M827+Y827</f>
        <v>12</v>
      </c>
      <c r="AB827" s="60">
        <f t="shared" si="214"/>
        <v>0</v>
      </c>
      <c r="AC827" s="1909">
        <f t="shared" si="215"/>
        <v>50</v>
      </c>
      <c r="AD827" s="62">
        <f t="shared" si="215"/>
        <v>0</v>
      </c>
      <c r="AE827" s="385" t="s">
        <v>694</v>
      </c>
    </row>
    <row r="828" spans="1:31" s="63" customFormat="1" ht="25.5">
      <c r="A828" s="1904"/>
      <c r="B828" s="1904"/>
      <c r="C828" s="1905">
        <v>1</v>
      </c>
      <c r="D828" s="1905" t="s">
        <v>65</v>
      </c>
      <c r="E828" s="1905" t="s">
        <v>198</v>
      </c>
      <c r="F828" s="1905" t="s">
        <v>66</v>
      </c>
      <c r="G828" s="1905" t="s">
        <v>515</v>
      </c>
      <c r="H828" s="643">
        <v>14</v>
      </c>
      <c r="I828" s="384" t="s">
        <v>753</v>
      </c>
      <c r="J828" s="384" t="s">
        <v>754</v>
      </c>
      <c r="K828" s="59">
        <f>25*4</f>
        <v>100</v>
      </c>
      <c r="L828" s="60">
        <f>90000000*6</f>
        <v>540000000</v>
      </c>
      <c r="M828" s="443">
        <f t="shared" ref="M828" si="216">12*2</f>
        <v>24</v>
      </c>
      <c r="N828" s="635">
        <v>0</v>
      </c>
      <c r="O828" s="59">
        <v>12</v>
      </c>
      <c r="P828" s="60">
        <v>34948100</v>
      </c>
      <c r="Q828" s="443">
        <v>2</v>
      </c>
      <c r="R828" s="60">
        <v>3317000</v>
      </c>
      <c r="S828" s="59"/>
      <c r="T828" s="59"/>
      <c r="U828" s="59"/>
      <c r="V828" s="59"/>
      <c r="W828" s="59"/>
      <c r="X828" s="59"/>
      <c r="Y828" s="59">
        <f t="shared" ref="Y828" si="217">Q828+S828+U828+W828</f>
        <v>2</v>
      </c>
      <c r="Z828" s="60">
        <f t="shared" si="213"/>
        <v>3317000</v>
      </c>
      <c r="AA828" s="59">
        <f t="shared" ref="AA828" si="218">M828+Y828</f>
        <v>26</v>
      </c>
      <c r="AB828" s="60">
        <f t="shared" si="214"/>
        <v>3317000</v>
      </c>
      <c r="AC828" s="1909">
        <f t="shared" si="215"/>
        <v>26</v>
      </c>
      <c r="AD828" s="62">
        <f t="shared" si="215"/>
        <v>0.61425925925925928</v>
      </c>
      <c r="AE828" s="385" t="s">
        <v>694</v>
      </c>
    </row>
    <row r="829" spans="1:31" s="145" customFormat="1" ht="38.25">
      <c r="A829" s="495"/>
      <c r="B829" s="495"/>
      <c r="C829" s="623">
        <v>1</v>
      </c>
      <c r="D829" s="623" t="s">
        <v>65</v>
      </c>
      <c r="E829" s="623" t="s">
        <v>198</v>
      </c>
      <c r="F829" s="623" t="s">
        <v>66</v>
      </c>
      <c r="G829" s="623" t="s">
        <v>459</v>
      </c>
      <c r="H829" s="644"/>
      <c r="I829" s="383" t="s">
        <v>755</v>
      </c>
      <c r="J829" s="383"/>
      <c r="K829" s="630"/>
      <c r="L829" s="632">
        <f>SUM(L830:L836)</f>
        <v>5385962000</v>
      </c>
      <c r="M829" s="636"/>
      <c r="N829" s="637"/>
      <c r="O829" s="630"/>
      <c r="P829" s="632">
        <f>SUM(P830:P836)</f>
        <v>1320564762</v>
      </c>
      <c r="Q829" s="636"/>
      <c r="R829" s="632"/>
      <c r="S829" s="630"/>
      <c r="T829" s="630"/>
      <c r="U829" s="630"/>
      <c r="V829" s="630"/>
      <c r="W829" s="630"/>
      <c r="X829" s="630"/>
      <c r="Y829" s="630"/>
      <c r="Z829" s="632"/>
      <c r="AA829" s="630"/>
      <c r="AB829" s="632">
        <f>AB830+AB831+AB836</f>
        <v>1376237853</v>
      </c>
      <c r="AC829" s="626"/>
      <c r="AD829" s="638"/>
      <c r="AE829" s="616" t="s">
        <v>694</v>
      </c>
    </row>
    <row r="830" spans="1:31" s="63" customFormat="1" ht="63.75">
      <c r="A830" s="1902"/>
      <c r="B830" s="1897"/>
      <c r="C830" s="1899">
        <v>1</v>
      </c>
      <c r="D830" s="1899" t="s">
        <v>65</v>
      </c>
      <c r="E830" s="1899" t="s">
        <v>198</v>
      </c>
      <c r="F830" s="1899" t="s">
        <v>66</v>
      </c>
      <c r="G830" s="1899" t="s">
        <v>459</v>
      </c>
      <c r="H830" s="645" t="s">
        <v>93</v>
      </c>
      <c r="I830" s="646" t="s">
        <v>756</v>
      </c>
      <c r="J830" s="433" t="s">
        <v>757</v>
      </c>
      <c r="K830" s="592">
        <f t="shared" ref="K830:K835" si="219">6*6</f>
        <v>36</v>
      </c>
      <c r="L830" s="647">
        <v>1000000000</v>
      </c>
      <c r="M830" s="593">
        <v>8</v>
      </c>
      <c r="N830" s="648">
        <v>161131599</v>
      </c>
      <c r="O830" s="592">
        <v>4</v>
      </c>
      <c r="P830" s="647">
        <v>65297631</v>
      </c>
      <c r="Q830" s="593">
        <v>1</v>
      </c>
      <c r="R830" s="647">
        <v>8883900</v>
      </c>
      <c r="S830" s="592"/>
      <c r="T830" s="592"/>
      <c r="U830" s="592"/>
      <c r="V830" s="592"/>
      <c r="W830" s="592"/>
      <c r="X830" s="592"/>
      <c r="Y830" s="592">
        <f t="shared" ref="Y830:Z830" si="220">Q830+S830+U830+W830</f>
        <v>1</v>
      </c>
      <c r="Z830" s="647">
        <f t="shared" si="220"/>
        <v>8883900</v>
      </c>
      <c r="AA830" s="592">
        <f t="shared" ref="AA830:AB830" si="221">M830+Y830</f>
        <v>9</v>
      </c>
      <c r="AB830" s="647">
        <f t="shared" si="221"/>
        <v>170015499</v>
      </c>
      <c r="AC830" s="1908">
        <f t="shared" ref="AC830" si="222">(AA830/K830)*100</f>
        <v>25</v>
      </c>
      <c r="AD830" s="649">
        <f>(AB830/L830)*100</f>
        <v>17.001549899999997</v>
      </c>
      <c r="AE830" s="439" t="s">
        <v>694</v>
      </c>
    </row>
    <row r="831" spans="1:31" s="385" customFormat="1">
      <c r="A831" s="2342"/>
      <c r="B831" s="2342"/>
      <c r="C831" s="2387">
        <v>1</v>
      </c>
      <c r="D831" s="2387" t="s">
        <v>65</v>
      </c>
      <c r="E831" s="2387" t="s">
        <v>198</v>
      </c>
      <c r="F831" s="2387" t="s">
        <v>66</v>
      </c>
      <c r="G831" s="2387" t="s">
        <v>459</v>
      </c>
      <c r="H831" s="2387" t="s">
        <v>202</v>
      </c>
      <c r="I831" s="2388" t="s">
        <v>758</v>
      </c>
      <c r="J831" s="384" t="s">
        <v>759</v>
      </c>
      <c r="K831" s="385">
        <f t="shared" si="219"/>
        <v>36</v>
      </c>
      <c r="L831" s="2486">
        <v>4085962000</v>
      </c>
      <c r="M831" s="595">
        <v>12</v>
      </c>
      <c r="N831" s="2487">
        <v>1073930254</v>
      </c>
      <c r="O831" s="385">
        <v>6</v>
      </c>
      <c r="P831" s="2486">
        <v>1199999866</v>
      </c>
      <c r="Q831" s="595">
        <v>1</v>
      </c>
      <c r="R831" s="2486">
        <v>66895450</v>
      </c>
      <c r="T831" s="2342"/>
      <c r="V831" s="2342"/>
      <c r="X831" s="2342"/>
      <c r="Y831" s="385">
        <f>Q831+S835+U835+W835</f>
        <v>1</v>
      </c>
      <c r="Z831" s="2486">
        <f>R831+T835+V835+X835</f>
        <v>66895450</v>
      </c>
      <c r="AA831" s="385">
        <f>M831+Y831</f>
        <v>13</v>
      </c>
      <c r="AB831" s="2486">
        <f>N831+Z831</f>
        <v>1140825704</v>
      </c>
      <c r="AC831" s="389">
        <f>(AA831/K831)*100</f>
        <v>36.111111111111107</v>
      </c>
      <c r="AD831" s="2492">
        <f>(AB831/L831)*100</f>
        <v>27.920614631266758</v>
      </c>
      <c r="AE831" s="2342" t="s">
        <v>694</v>
      </c>
    </row>
    <row r="832" spans="1:31" s="385" customFormat="1" ht="22.5" customHeight="1">
      <c r="A832" s="2342"/>
      <c r="B832" s="2342"/>
      <c r="C832" s="2387"/>
      <c r="D832" s="2387"/>
      <c r="E832" s="2387"/>
      <c r="F832" s="2387"/>
      <c r="G832" s="2387"/>
      <c r="H832" s="2387"/>
      <c r="I832" s="2388"/>
      <c r="J832" s="384" t="s">
        <v>760</v>
      </c>
      <c r="K832" s="385">
        <f t="shared" si="219"/>
        <v>36</v>
      </c>
      <c r="L832" s="2486"/>
      <c r="M832" s="595">
        <v>12</v>
      </c>
      <c r="N832" s="2487"/>
      <c r="O832" s="385">
        <v>6</v>
      </c>
      <c r="P832" s="2486"/>
      <c r="Q832" s="595">
        <v>1</v>
      </c>
      <c r="R832" s="2486"/>
      <c r="T832" s="2342"/>
      <c r="V832" s="2342"/>
      <c r="X832" s="2342"/>
      <c r="Z832" s="2486"/>
      <c r="AA832" s="385">
        <f>M832+Y832</f>
        <v>12</v>
      </c>
      <c r="AB832" s="2486"/>
      <c r="AC832" s="389">
        <f>(AA832/K832)*100</f>
        <v>33.333333333333329</v>
      </c>
      <c r="AD832" s="2492"/>
      <c r="AE832" s="2342"/>
    </row>
    <row r="833" spans="1:31" s="385" customFormat="1">
      <c r="A833" s="2342"/>
      <c r="B833" s="2342"/>
      <c r="C833" s="2387"/>
      <c r="D833" s="2387"/>
      <c r="E833" s="2387"/>
      <c r="F833" s="2387"/>
      <c r="G833" s="2387"/>
      <c r="H833" s="2387"/>
      <c r="I833" s="2388"/>
      <c r="J833" s="384" t="s">
        <v>761</v>
      </c>
      <c r="K833" s="385">
        <f t="shared" si="219"/>
        <v>36</v>
      </c>
      <c r="L833" s="2486"/>
      <c r="M833" s="595">
        <v>12</v>
      </c>
      <c r="N833" s="2487"/>
      <c r="O833" s="385">
        <v>6</v>
      </c>
      <c r="P833" s="2486"/>
      <c r="Q833" s="595">
        <v>1</v>
      </c>
      <c r="R833" s="2486"/>
      <c r="T833" s="2342"/>
      <c r="V833" s="2342"/>
      <c r="X833" s="2342"/>
      <c r="Z833" s="2486"/>
      <c r="AA833" s="385">
        <f t="shared" ref="AA833:AB836" si="223">M833+Y833</f>
        <v>12</v>
      </c>
      <c r="AB833" s="2486"/>
      <c r="AC833" s="389">
        <f>(AA833/K833*100)</f>
        <v>33.333333333333329</v>
      </c>
      <c r="AD833" s="2492"/>
      <c r="AE833" s="2342"/>
    </row>
    <row r="834" spans="1:31" s="385" customFormat="1">
      <c r="A834" s="2342"/>
      <c r="B834" s="2342"/>
      <c r="C834" s="2387"/>
      <c r="D834" s="2387"/>
      <c r="E834" s="2387"/>
      <c r="F834" s="2387"/>
      <c r="G834" s="2387"/>
      <c r="H834" s="2387"/>
      <c r="I834" s="2388"/>
      <c r="J834" s="384" t="s">
        <v>762</v>
      </c>
      <c r="K834" s="385">
        <f t="shared" si="219"/>
        <v>36</v>
      </c>
      <c r="L834" s="2486"/>
      <c r="M834" s="595">
        <v>12</v>
      </c>
      <c r="N834" s="2487"/>
      <c r="O834" s="385">
        <v>6</v>
      </c>
      <c r="P834" s="2486"/>
      <c r="Q834" s="595">
        <v>1</v>
      </c>
      <c r="R834" s="2486"/>
      <c r="T834" s="2342"/>
      <c r="V834" s="2342"/>
      <c r="X834" s="2342"/>
      <c r="Z834" s="2486"/>
      <c r="AA834" s="385">
        <f t="shared" si="223"/>
        <v>12</v>
      </c>
      <c r="AB834" s="2486"/>
      <c r="AC834" s="389">
        <f>(AA834/K834)*100</f>
        <v>33.333333333333329</v>
      </c>
      <c r="AD834" s="2492"/>
      <c r="AE834" s="2342"/>
    </row>
    <row r="835" spans="1:31" s="385" customFormat="1">
      <c r="A835" s="2342"/>
      <c r="B835" s="2342"/>
      <c r="C835" s="2387"/>
      <c r="D835" s="2387"/>
      <c r="E835" s="2387"/>
      <c r="F835" s="2387"/>
      <c r="G835" s="2387"/>
      <c r="H835" s="2387"/>
      <c r="I835" s="2388"/>
      <c r="J835" s="384" t="s">
        <v>763</v>
      </c>
      <c r="K835" s="385">
        <f t="shared" si="219"/>
        <v>36</v>
      </c>
      <c r="L835" s="2486"/>
      <c r="M835" s="595">
        <v>12</v>
      </c>
      <c r="N835" s="2487"/>
      <c r="O835" s="385">
        <v>6</v>
      </c>
      <c r="P835" s="2486"/>
      <c r="Q835" s="595">
        <v>0</v>
      </c>
      <c r="R835" s="2486"/>
      <c r="T835" s="2342"/>
      <c r="V835" s="2342"/>
      <c r="X835" s="2342"/>
      <c r="Z835" s="2486"/>
      <c r="AA835" s="385">
        <f t="shared" si="223"/>
        <v>12</v>
      </c>
      <c r="AB835" s="2486"/>
      <c r="AC835" s="389">
        <f>(AA835/K835)*100</f>
        <v>33.333333333333329</v>
      </c>
      <c r="AD835" s="2492"/>
      <c r="AE835" s="2342"/>
    </row>
    <row r="836" spans="1:31" s="63" customFormat="1" ht="51">
      <c r="A836" s="1898"/>
      <c r="B836" s="1898"/>
      <c r="C836" s="1900">
        <v>1</v>
      </c>
      <c r="D836" s="1900" t="s">
        <v>65</v>
      </c>
      <c r="E836" s="1900" t="s">
        <v>198</v>
      </c>
      <c r="F836" s="1900" t="s">
        <v>66</v>
      </c>
      <c r="G836" s="1900" t="s">
        <v>459</v>
      </c>
      <c r="H836" s="650" t="s">
        <v>93</v>
      </c>
      <c r="I836" s="58" t="s">
        <v>764</v>
      </c>
      <c r="J836" s="58" t="s">
        <v>765</v>
      </c>
      <c r="K836" s="59">
        <f>142</f>
        <v>142</v>
      </c>
      <c r="L836" s="60">
        <v>300000000</v>
      </c>
      <c r="M836" s="443">
        <v>77</v>
      </c>
      <c r="N836" s="60">
        <v>61959150</v>
      </c>
      <c r="O836" s="59">
        <v>12</v>
      </c>
      <c r="P836" s="60">
        <v>55267265</v>
      </c>
      <c r="Q836" s="443">
        <v>5</v>
      </c>
      <c r="R836" s="60">
        <v>3437500</v>
      </c>
      <c r="S836" s="59"/>
      <c r="T836" s="59"/>
      <c r="U836" s="59"/>
      <c r="V836" s="59"/>
      <c r="W836" s="59"/>
      <c r="X836" s="59"/>
      <c r="Y836" s="59">
        <f>Q836+S836+U836+W836</f>
        <v>5</v>
      </c>
      <c r="Z836" s="60">
        <f t="shared" ref="Z836" si="224">R836+T836+V836+X836</f>
        <v>3437500</v>
      </c>
      <c r="AA836" s="59">
        <f t="shared" si="223"/>
        <v>82</v>
      </c>
      <c r="AB836" s="60">
        <f t="shared" si="223"/>
        <v>65396650</v>
      </c>
      <c r="AC836" s="1909">
        <f t="shared" ref="AC836:AD836" si="225">(AA836/K836)*100</f>
        <v>57.74647887323944</v>
      </c>
      <c r="AD836" s="62">
        <f t="shared" si="225"/>
        <v>21.798883333333333</v>
      </c>
      <c r="AE836" s="59" t="s">
        <v>694</v>
      </c>
    </row>
    <row r="837" spans="1:31" s="145" customFormat="1" ht="25.5">
      <c r="A837" s="1907"/>
      <c r="B837" s="495"/>
      <c r="C837" s="623">
        <v>1</v>
      </c>
      <c r="D837" s="623" t="s">
        <v>65</v>
      </c>
      <c r="E837" s="623" t="s">
        <v>198</v>
      </c>
      <c r="F837" s="623" t="s">
        <v>66</v>
      </c>
      <c r="G837" s="623" t="s">
        <v>363</v>
      </c>
      <c r="H837" s="651"/>
      <c r="I837" s="57" t="s">
        <v>766</v>
      </c>
      <c r="J837" s="383"/>
      <c r="K837" s="630"/>
      <c r="L837" s="632">
        <f>SUM(L838)</f>
        <v>349225800</v>
      </c>
      <c r="M837" s="636"/>
      <c r="N837" s="632">
        <f>SUM(N838)</f>
        <v>82513548</v>
      </c>
      <c r="O837" s="630"/>
      <c r="P837" s="632">
        <f>SUM(P838)</f>
        <v>110098048</v>
      </c>
      <c r="Q837" s="636"/>
      <c r="R837" s="632"/>
      <c r="S837" s="630"/>
      <c r="T837" s="630"/>
      <c r="U837" s="630"/>
      <c r="V837" s="630"/>
      <c r="W837" s="630"/>
      <c r="X837" s="630"/>
      <c r="Y837" s="630"/>
      <c r="Z837" s="632"/>
      <c r="AA837" s="630"/>
      <c r="AB837" s="632">
        <f>AB838</f>
        <v>107706348</v>
      </c>
      <c r="AC837" s="626"/>
      <c r="AD837" s="638"/>
      <c r="AE837" s="616" t="s">
        <v>694</v>
      </c>
    </row>
    <row r="838" spans="1:31" s="63" customFormat="1">
      <c r="A838" s="2323"/>
      <c r="B838" s="2323"/>
      <c r="C838" s="2321">
        <v>1</v>
      </c>
      <c r="D838" s="2321" t="s">
        <v>65</v>
      </c>
      <c r="E838" s="2321" t="s">
        <v>198</v>
      </c>
      <c r="F838" s="2321" t="s">
        <v>66</v>
      </c>
      <c r="G838" s="2321" t="s">
        <v>363</v>
      </c>
      <c r="H838" s="2321" t="s">
        <v>95</v>
      </c>
      <c r="I838" s="2339" t="s">
        <v>767</v>
      </c>
      <c r="J838" s="384" t="s">
        <v>768</v>
      </c>
      <c r="K838" s="385">
        <v>5</v>
      </c>
      <c r="L838" s="2477">
        <v>349225800</v>
      </c>
      <c r="M838" s="595">
        <v>3</v>
      </c>
      <c r="N838" s="2487">
        <v>82513548</v>
      </c>
      <c r="O838" s="385">
        <v>3</v>
      </c>
      <c r="P838" s="2486">
        <v>110098048</v>
      </c>
      <c r="Q838" s="595">
        <v>1</v>
      </c>
      <c r="R838" s="2486">
        <v>25192800</v>
      </c>
      <c r="S838" s="385"/>
      <c r="T838" s="2342"/>
      <c r="U838" s="385"/>
      <c r="V838" s="2342"/>
      <c r="W838" s="385"/>
      <c r="X838" s="2342"/>
      <c r="Y838" s="385">
        <f>Q838+S838+U838+W838</f>
        <v>1</v>
      </c>
      <c r="Z838" s="2486">
        <f>R838+T838+V838+X838</f>
        <v>25192800</v>
      </c>
      <c r="AA838" s="439">
        <f>M838+Y838</f>
        <v>4</v>
      </c>
      <c r="AB838" s="2477">
        <f>N838+Z838</f>
        <v>107706348</v>
      </c>
      <c r="AC838" s="441">
        <f>(AA838/K838)*100</f>
        <v>80</v>
      </c>
      <c r="AD838" s="2479">
        <f>(AB838/L838)*100</f>
        <v>30.841463603204573</v>
      </c>
      <c r="AE838" s="2323" t="s">
        <v>694</v>
      </c>
    </row>
    <row r="839" spans="1:31" s="63" customFormat="1" ht="25.5">
      <c r="A839" s="2324"/>
      <c r="B839" s="2324"/>
      <c r="C839" s="2322"/>
      <c r="D839" s="2322"/>
      <c r="E839" s="2322"/>
      <c r="F839" s="2322"/>
      <c r="G839" s="2322"/>
      <c r="H839" s="2322"/>
      <c r="I839" s="2340"/>
      <c r="J839" s="58" t="s">
        <v>769</v>
      </c>
      <c r="K839" s="385">
        <v>5</v>
      </c>
      <c r="L839" s="2478"/>
      <c r="M839" s="595">
        <v>3</v>
      </c>
      <c r="N839" s="2487"/>
      <c r="O839" s="385">
        <v>1</v>
      </c>
      <c r="P839" s="2486"/>
      <c r="Q839" s="595">
        <v>0</v>
      </c>
      <c r="R839" s="2486"/>
      <c r="S839" s="385"/>
      <c r="T839" s="2342"/>
      <c r="U839" s="385"/>
      <c r="V839" s="2342"/>
      <c r="W839" s="385"/>
      <c r="X839" s="2342"/>
      <c r="Y839" s="385">
        <f>Q839+S839+U839+W839</f>
        <v>0</v>
      </c>
      <c r="Z839" s="2486"/>
      <c r="AA839" s="439">
        <f>M839+Y839</f>
        <v>3</v>
      </c>
      <c r="AB839" s="2478"/>
      <c r="AC839" s="441">
        <f>(AA839/K839)*100</f>
        <v>60</v>
      </c>
      <c r="AD839" s="2480"/>
      <c r="AE839" s="2324"/>
    </row>
    <row r="840" spans="1:31" ht="19.5" customHeight="1">
      <c r="A840" s="2493"/>
      <c r="B840" s="2494"/>
      <c r="C840" s="2494"/>
      <c r="D840" s="2494"/>
      <c r="E840" s="2494"/>
      <c r="F840" s="2494"/>
      <c r="G840" s="2494"/>
      <c r="H840" s="2494"/>
      <c r="I840" s="2494"/>
      <c r="J840" s="2494"/>
      <c r="K840" s="2494"/>
      <c r="L840" s="2494"/>
      <c r="M840" s="2494"/>
      <c r="N840" s="2494"/>
      <c r="O840" s="2494"/>
      <c r="P840" s="2494"/>
      <c r="Q840" s="2494"/>
      <c r="R840" s="2494"/>
      <c r="S840" s="2494"/>
      <c r="T840" s="2494"/>
      <c r="U840" s="2494"/>
      <c r="V840" s="2494"/>
      <c r="W840" s="2494"/>
      <c r="X840" s="2494"/>
      <c r="Y840" s="2494"/>
      <c r="Z840" s="2494"/>
      <c r="AA840" s="2494"/>
      <c r="AB840" s="2494"/>
      <c r="AC840" s="2494"/>
      <c r="AD840" s="2494"/>
      <c r="AE840" s="2495"/>
    </row>
    <row r="841" spans="1:31" s="69" customFormat="1" ht="53.25" customHeight="1">
      <c r="A841" s="67">
        <v>14</v>
      </c>
      <c r="B841" s="67"/>
      <c r="C841" s="67"/>
      <c r="D841" s="67"/>
      <c r="E841" s="67"/>
      <c r="F841" s="67"/>
      <c r="G841" s="67"/>
      <c r="H841" s="67"/>
      <c r="I841" s="68" t="s">
        <v>141</v>
      </c>
      <c r="J841" s="67"/>
      <c r="K841" s="67"/>
      <c r="L841" s="67"/>
      <c r="M841" s="67"/>
      <c r="N841" s="67"/>
      <c r="O841" s="67"/>
      <c r="P841" s="67"/>
      <c r="Q841" s="67"/>
      <c r="R841" s="67"/>
      <c r="S841" s="67"/>
      <c r="T841" s="67"/>
      <c r="U841" s="67"/>
      <c r="V841" s="67"/>
      <c r="W841" s="67"/>
      <c r="X841" s="67"/>
      <c r="Y841" s="366"/>
      <c r="Z841" s="67"/>
      <c r="AA841" s="67"/>
      <c r="AB841" s="67"/>
      <c r="AC841" s="67"/>
      <c r="AD841" s="67"/>
      <c r="AE841" s="67"/>
    </row>
    <row r="842" spans="1:31" s="642" customFormat="1" ht="51">
      <c r="A842" s="616"/>
      <c r="B842" s="652"/>
      <c r="C842" s="623">
        <v>1</v>
      </c>
      <c r="D842" s="623" t="s">
        <v>65</v>
      </c>
      <c r="E842" s="623" t="s">
        <v>93</v>
      </c>
      <c r="F842" s="623" t="s">
        <v>66</v>
      </c>
      <c r="G842" s="623" t="s">
        <v>363</v>
      </c>
      <c r="H842" s="623"/>
      <c r="I842" s="383" t="s">
        <v>771</v>
      </c>
      <c r="J842" s="383"/>
      <c r="K842" s="616"/>
      <c r="L842" s="624">
        <f>SUM(L843+L846+L848)</f>
        <v>29954808546</v>
      </c>
      <c r="M842" s="617"/>
      <c r="N842" s="624">
        <f>SUM(N843+N846+N848)</f>
        <v>4156039874</v>
      </c>
      <c r="O842" s="616"/>
      <c r="P842" s="624">
        <f>SUM(P843+P846+P848)</f>
        <v>5946936291</v>
      </c>
      <c r="Q842" s="617"/>
      <c r="R842" s="624"/>
      <c r="S842" s="616"/>
      <c r="T842" s="616"/>
      <c r="U842" s="616"/>
      <c r="V842" s="616"/>
      <c r="W842" s="616"/>
      <c r="X842" s="616"/>
      <c r="Y842" s="616"/>
      <c r="Z842" s="624"/>
      <c r="AA842" s="616"/>
      <c r="AB842" s="624">
        <f>AB843+AB846+AB846+AB848</f>
        <v>12390766922</v>
      </c>
      <c r="AC842" s="622"/>
      <c r="AD842" s="493"/>
      <c r="AE842" s="616" t="s">
        <v>694</v>
      </c>
    </row>
    <row r="843" spans="1:31" s="639" customFormat="1" ht="25.5">
      <c r="A843" s="2323"/>
      <c r="B843" s="2376"/>
      <c r="C843" s="2321">
        <v>1</v>
      </c>
      <c r="D843" s="2321" t="s">
        <v>65</v>
      </c>
      <c r="E843" s="2321" t="s">
        <v>198</v>
      </c>
      <c r="F843" s="2321" t="s">
        <v>66</v>
      </c>
      <c r="G843" s="2321" t="s">
        <v>363</v>
      </c>
      <c r="H843" s="2321" t="s">
        <v>66</v>
      </c>
      <c r="I843" s="2339" t="s">
        <v>772</v>
      </c>
      <c r="J843" s="384" t="s">
        <v>773</v>
      </c>
      <c r="K843" s="385">
        <v>2</v>
      </c>
      <c r="L843" s="2477">
        <v>7479580800</v>
      </c>
      <c r="M843" s="443">
        <v>0</v>
      </c>
      <c r="N843" s="2489">
        <v>2656363524</v>
      </c>
      <c r="O843" s="385">
        <v>2</v>
      </c>
      <c r="P843" s="2477">
        <v>1461000000</v>
      </c>
      <c r="Q843" s="443">
        <v>0</v>
      </c>
      <c r="R843" s="2477">
        <v>0</v>
      </c>
      <c r="S843" s="59"/>
      <c r="T843" s="2323"/>
      <c r="U843" s="59"/>
      <c r="V843" s="2323"/>
      <c r="W843" s="59"/>
      <c r="X843" s="2323"/>
      <c r="Y843" s="59">
        <f>O843+Q843+S843+U843</f>
        <v>2</v>
      </c>
      <c r="Z843" s="2477">
        <f>R843+T843+V843</f>
        <v>0</v>
      </c>
      <c r="AA843" s="59">
        <f>Q843+S843+U843+W843</f>
        <v>0</v>
      </c>
      <c r="AB843" s="2477">
        <f>N843+Z843</f>
        <v>2656363524</v>
      </c>
      <c r="AC843" s="1909">
        <f>(AA843/K843)*100</f>
        <v>0</v>
      </c>
      <c r="AD843" s="2479">
        <f>(AB843/L843)*100</f>
        <v>35.514871689065785</v>
      </c>
      <c r="AE843" s="2323" t="s">
        <v>694</v>
      </c>
    </row>
    <row r="844" spans="1:31" s="639" customFormat="1">
      <c r="A844" s="2392"/>
      <c r="B844" s="2485"/>
      <c r="C844" s="2382"/>
      <c r="D844" s="2382"/>
      <c r="E844" s="2382"/>
      <c r="F844" s="2382"/>
      <c r="G844" s="2382"/>
      <c r="H844" s="2382"/>
      <c r="I844" s="2383"/>
      <c r="J844" s="384" t="s">
        <v>774</v>
      </c>
      <c r="K844" s="385">
        <v>15</v>
      </c>
      <c r="L844" s="2484"/>
      <c r="M844" s="443">
        <v>0</v>
      </c>
      <c r="N844" s="2490"/>
      <c r="O844" s="385">
        <v>15</v>
      </c>
      <c r="P844" s="2484"/>
      <c r="Q844" s="443">
        <v>0</v>
      </c>
      <c r="R844" s="2484"/>
      <c r="S844" s="59"/>
      <c r="T844" s="2392"/>
      <c r="U844" s="59"/>
      <c r="V844" s="2392"/>
      <c r="W844" s="59"/>
      <c r="X844" s="2392"/>
      <c r="Y844" s="59">
        <f t="shared" ref="Y844:Y851" si="226">O844+Q844+S844+U844</f>
        <v>15</v>
      </c>
      <c r="Z844" s="2484"/>
      <c r="AA844" s="59">
        <f t="shared" ref="AA844:AA845" si="227">Q844+S844+U844+W844</f>
        <v>0</v>
      </c>
      <c r="AB844" s="2484"/>
      <c r="AC844" s="1909">
        <f t="shared" ref="AC844:AC851" si="228">(AA844/K844)*100</f>
        <v>0</v>
      </c>
      <c r="AD844" s="2488"/>
      <c r="AE844" s="2392"/>
    </row>
    <row r="845" spans="1:31" s="639" customFormat="1" ht="25.5">
      <c r="A845" s="2392"/>
      <c r="B845" s="2485"/>
      <c r="C845" s="2382"/>
      <c r="D845" s="2382"/>
      <c r="E845" s="2382"/>
      <c r="F845" s="2382"/>
      <c r="G845" s="2382"/>
      <c r="H845" s="2382"/>
      <c r="I845" s="2383"/>
      <c r="J845" s="384" t="s">
        <v>775</v>
      </c>
      <c r="K845" s="385">
        <v>26</v>
      </c>
      <c r="L845" s="2484"/>
      <c r="M845" s="443">
        <v>0</v>
      </c>
      <c r="N845" s="2490"/>
      <c r="O845" s="385">
        <v>26</v>
      </c>
      <c r="P845" s="2484"/>
      <c r="Q845" s="443">
        <v>0</v>
      </c>
      <c r="R845" s="2484"/>
      <c r="S845" s="59"/>
      <c r="T845" s="2392"/>
      <c r="U845" s="59"/>
      <c r="V845" s="2392"/>
      <c r="W845" s="59"/>
      <c r="X845" s="2392"/>
      <c r="Y845" s="59">
        <f t="shared" si="226"/>
        <v>26</v>
      </c>
      <c r="Z845" s="2484"/>
      <c r="AA845" s="59">
        <f t="shared" si="227"/>
        <v>0</v>
      </c>
      <c r="AB845" s="2484"/>
      <c r="AC845" s="1909">
        <f t="shared" si="228"/>
        <v>0</v>
      </c>
      <c r="AD845" s="2488"/>
      <c r="AE845" s="2392"/>
    </row>
    <row r="846" spans="1:31" s="639" customFormat="1" ht="25.5">
      <c r="A846" s="2323"/>
      <c r="B846" s="2376"/>
      <c r="C846" s="2321">
        <v>1</v>
      </c>
      <c r="D846" s="2321" t="s">
        <v>65</v>
      </c>
      <c r="E846" s="2321" t="s">
        <v>198</v>
      </c>
      <c r="F846" s="2321" t="s">
        <v>66</v>
      </c>
      <c r="G846" s="2321" t="s">
        <v>363</v>
      </c>
      <c r="H846" s="2321" t="s">
        <v>65</v>
      </c>
      <c r="I846" s="2339" t="s">
        <v>776</v>
      </c>
      <c r="J846" s="58" t="s">
        <v>777</v>
      </c>
      <c r="K846" s="59">
        <v>8</v>
      </c>
      <c r="L846" s="2477">
        <f>6*P846</f>
        <v>273277746</v>
      </c>
      <c r="M846" s="443">
        <v>0</v>
      </c>
      <c r="N846" s="2490"/>
      <c r="O846" s="59">
        <v>8</v>
      </c>
      <c r="P846" s="2477">
        <v>45546291</v>
      </c>
      <c r="Q846" s="443"/>
      <c r="R846" s="2484"/>
      <c r="S846" s="59"/>
      <c r="T846" s="2392"/>
      <c r="U846" s="59"/>
      <c r="V846" s="2392"/>
      <c r="W846" s="59"/>
      <c r="X846" s="2392"/>
      <c r="Y846" s="59">
        <f t="shared" si="226"/>
        <v>8</v>
      </c>
      <c r="Z846" s="2484">
        <v>0</v>
      </c>
      <c r="AA846" s="59">
        <f>Q846+S846+U846+W846</f>
        <v>0</v>
      </c>
      <c r="AB846" s="2484">
        <v>4117363524</v>
      </c>
      <c r="AC846" s="1909">
        <f t="shared" si="228"/>
        <v>0</v>
      </c>
      <c r="AD846" s="2488">
        <v>55.048051944301477</v>
      </c>
      <c r="AE846" s="2323" t="s">
        <v>694</v>
      </c>
    </row>
    <row r="847" spans="1:31" s="639" customFormat="1" ht="25.5">
      <c r="A847" s="2392"/>
      <c r="B847" s="2485"/>
      <c r="C847" s="2382"/>
      <c r="D847" s="2382"/>
      <c r="E847" s="2382"/>
      <c r="F847" s="2382"/>
      <c r="G847" s="2382"/>
      <c r="H847" s="2382"/>
      <c r="I847" s="2383"/>
      <c r="J847" s="58" t="s">
        <v>778</v>
      </c>
      <c r="K847" s="59">
        <v>5</v>
      </c>
      <c r="L847" s="2484"/>
      <c r="M847" s="443">
        <v>0</v>
      </c>
      <c r="N847" s="2491"/>
      <c r="O847" s="59">
        <v>5</v>
      </c>
      <c r="P847" s="2484"/>
      <c r="Q847" s="443"/>
      <c r="R847" s="2478"/>
      <c r="S847" s="59"/>
      <c r="T847" s="2324"/>
      <c r="U847" s="59"/>
      <c r="V847" s="2324"/>
      <c r="W847" s="59"/>
      <c r="X847" s="2324"/>
      <c r="Y847" s="59">
        <f t="shared" si="226"/>
        <v>5</v>
      </c>
      <c r="Z847" s="2478"/>
      <c r="AA847" s="59">
        <f>Q847+S847+U847+W847</f>
        <v>0</v>
      </c>
      <c r="AB847" s="2478"/>
      <c r="AC847" s="1909">
        <f t="shared" si="228"/>
        <v>0</v>
      </c>
      <c r="AD847" s="2480"/>
      <c r="AE847" s="2324"/>
    </row>
    <row r="848" spans="1:31" s="639" customFormat="1">
      <c r="A848" s="2323"/>
      <c r="B848" s="2376"/>
      <c r="C848" s="2321">
        <v>1</v>
      </c>
      <c r="D848" s="2321" t="s">
        <v>65</v>
      </c>
      <c r="E848" s="2321" t="s">
        <v>198</v>
      </c>
      <c r="F848" s="2321" t="s">
        <v>66</v>
      </c>
      <c r="G848" s="2321" t="s">
        <v>363</v>
      </c>
      <c r="H848" s="2321" t="s">
        <v>196</v>
      </c>
      <c r="I848" s="2339" t="s">
        <v>779</v>
      </c>
      <c r="J848" s="58" t="s">
        <v>780</v>
      </c>
      <c r="K848" s="59">
        <f>15*12*6</f>
        <v>1080</v>
      </c>
      <c r="L848" s="2477">
        <f>P848*5</f>
        <v>22201950000</v>
      </c>
      <c r="M848" s="443">
        <f>15*2*12</f>
        <v>360</v>
      </c>
      <c r="N848" s="2489">
        <v>1499676350</v>
      </c>
      <c r="O848" s="59">
        <f>15*12</f>
        <v>180</v>
      </c>
      <c r="P848" s="2477">
        <v>4440390000</v>
      </c>
      <c r="Q848" s="443">
        <v>3</v>
      </c>
      <c r="R848" s="2477">
        <v>128709132</v>
      </c>
      <c r="S848" s="59"/>
      <c r="T848" s="2323">
        <v>0</v>
      </c>
      <c r="U848" s="59"/>
      <c r="V848" s="2323">
        <v>0</v>
      </c>
      <c r="W848" s="59"/>
      <c r="X848" s="2323">
        <v>0</v>
      </c>
      <c r="Y848" s="59">
        <f t="shared" si="226"/>
        <v>183</v>
      </c>
      <c r="Z848" s="2477">
        <v>0</v>
      </c>
      <c r="AA848" s="59">
        <f t="shared" ref="AA848:AA851" si="229">Q848+S848+U848+W848</f>
        <v>3</v>
      </c>
      <c r="AB848" s="2477">
        <f>N848+Z848</f>
        <v>1499676350</v>
      </c>
      <c r="AC848" s="1909">
        <f t="shared" si="228"/>
        <v>0.27777777777777779</v>
      </c>
      <c r="AD848" s="2479">
        <f>(AB848/L848)*100</f>
        <v>6.7547055551426789</v>
      </c>
      <c r="AE848" s="2323" t="s">
        <v>694</v>
      </c>
    </row>
    <row r="849" spans="1:31" s="639" customFormat="1">
      <c r="A849" s="2392"/>
      <c r="B849" s="2485"/>
      <c r="C849" s="2382"/>
      <c r="D849" s="2382"/>
      <c r="E849" s="2382"/>
      <c r="F849" s="2382"/>
      <c r="G849" s="2382"/>
      <c r="H849" s="2382"/>
      <c r="I849" s="2383"/>
      <c r="J849" s="58" t="s">
        <v>781</v>
      </c>
      <c r="K849" s="59">
        <f>15*12*6</f>
        <v>1080</v>
      </c>
      <c r="L849" s="2484"/>
      <c r="M849" s="443">
        <f t="shared" ref="M849:M851" si="230">15*2*12</f>
        <v>360</v>
      </c>
      <c r="N849" s="2490"/>
      <c r="O849" s="59">
        <f t="shared" ref="O849:O851" si="231">15*12</f>
        <v>180</v>
      </c>
      <c r="P849" s="2484"/>
      <c r="Q849" s="443">
        <v>3</v>
      </c>
      <c r="R849" s="2484"/>
      <c r="S849" s="59"/>
      <c r="T849" s="2392"/>
      <c r="U849" s="59"/>
      <c r="V849" s="2392"/>
      <c r="W849" s="59"/>
      <c r="X849" s="2392"/>
      <c r="Y849" s="59">
        <f t="shared" si="226"/>
        <v>183</v>
      </c>
      <c r="Z849" s="2484"/>
      <c r="AA849" s="59">
        <f t="shared" si="229"/>
        <v>3</v>
      </c>
      <c r="AB849" s="2484"/>
      <c r="AC849" s="1909">
        <f t="shared" si="228"/>
        <v>0.27777777777777779</v>
      </c>
      <c r="AD849" s="2488"/>
      <c r="AE849" s="2392"/>
    </row>
    <row r="850" spans="1:31" s="639" customFormat="1" ht="25.5">
      <c r="A850" s="2392"/>
      <c r="B850" s="2485"/>
      <c r="C850" s="2382"/>
      <c r="D850" s="2382"/>
      <c r="E850" s="2382"/>
      <c r="F850" s="2382"/>
      <c r="G850" s="2382"/>
      <c r="H850" s="2382"/>
      <c r="I850" s="2383"/>
      <c r="J850" s="58" t="s">
        <v>782</v>
      </c>
      <c r="K850" s="59">
        <f t="shared" ref="K850:K851" si="232">15*12*6</f>
        <v>1080</v>
      </c>
      <c r="L850" s="2484"/>
      <c r="M850" s="443">
        <f t="shared" si="230"/>
        <v>360</v>
      </c>
      <c r="N850" s="2490"/>
      <c r="O850" s="59">
        <f t="shared" si="231"/>
        <v>180</v>
      </c>
      <c r="P850" s="2484"/>
      <c r="Q850" s="443">
        <v>3</v>
      </c>
      <c r="R850" s="2484"/>
      <c r="S850" s="59"/>
      <c r="T850" s="2392"/>
      <c r="U850" s="59"/>
      <c r="V850" s="2392"/>
      <c r="W850" s="59"/>
      <c r="X850" s="2392"/>
      <c r="Y850" s="59">
        <f t="shared" si="226"/>
        <v>183</v>
      </c>
      <c r="Z850" s="2484"/>
      <c r="AA850" s="59">
        <f t="shared" si="229"/>
        <v>3</v>
      </c>
      <c r="AB850" s="2484"/>
      <c r="AC850" s="1909">
        <f t="shared" si="228"/>
        <v>0.27777777777777779</v>
      </c>
      <c r="AD850" s="2488"/>
      <c r="AE850" s="2392"/>
    </row>
    <row r="851" spans="1:31" s="639" customFormat="1">
      <c r="A851" s="2392"/>
      <c r="B851" s="2485"/>
      <c r="C851" s="2382"/>
      <c r="D851" s="2382"/>
      <c r="E851" s="2382"/>
      <c r="F851" s="2382"/>
      <c r="G851" s="2382"/>
      <c r="H851" s="2382"/>
      <c r="I851" s="2383"/>
      <c r="J851" s="58" t="s">
        <v>783</v>
      </c>
      <c r="K851" s="59">
        <f t="shared" si="232"/>
        <v>1080</v>
      </c>
      <c r="L851" s="2484"/>
      <c r="M851" s="443">
        <f t="shared" si="230"/>
        <v>360</v>
      </c>
      <c r="N851" s="2491"/>
      <c r="O851" s="59">
        <f t="shared" si="231"/>
        <v>180</v>
      </c>
      <c r="P851" s="2484"/>
      <c r="Q851" s="443">
        <v>3</v>
      </c>
      <c r="R851" s="2478"/>
      <c r="S851" s="59"/>
      <c r="T851" s="2324"/>
      <c r="U851" s="59"/>
      <c r="V851" s="2324"/>
      <c r="W851" s="59"/>
      <c r="X851" s="2324"/>
      <c r="Y851" s="59">
        <f t="shared" si="226"/>
        <v>183</v>
      </c>
      <c r="Z851" s="2478"/>
      <c r="AA851" s="59">
        <f t="shared" si="229"/>
        <v>3</v>
      </c>
      <c r="AB851" s="2478"/>
      <c r="AC851" s="1909">
        <f t="shared" si="228"/>
        <v>0.27777777777777779</v>
      </c>
      <c r="AD851" s="2480"/>
      <c r="AE851" s="2324"/>
    </row>
    <row r="852" spans="1:31" s="642" customFormat="1" ht="25.5">
      <c r="A852" s="616"/>
      <c r="B852" s="652"/>
      <c r="C852" s="623">
        <v>1</v>
      </c>
      <c r="D852" s="623" t="s">
        <v>65</v>
      </c>
      <c r="E852" s="623" t="s">
        <v>198</v>
      </c>
      <c r="F852" s="623" t="s">
        <v>66</v>
      </c>
      <c r="G852" s="623" t="s">
        <v>368</v>
      </c>
      <c r="H852" s="623"/>
      <c r="I852" s="383" t="s">
        <v>784</v>
      </c>
      <c r="J852" s="383"/>
      <c r="K852" s="616"/>
      <c r="L852" s="624">
        <f>L853</f>
        <v>150483974</v>
      </c>
      <c r="M852" s="636"/>
      <c r="N852" s="637"/>
      <c r="O852" s="630"/>
      <c r="P852" s="632">
        <f>P853</f>
        <v>234161150</v>
      </c>
      <c r="Q852" s="636"/>
      <c r="R852" s="632"/>
      <c r="S852" s="630"/>
      <c r="T852" s="630"/>
      <c r="U852" s="630"/>
      <c r="V852" s="630"/>
      <c r="W852" s="630"/>
      <c r="X852" s="630"/>
      <c r="Y852" s="630"/>
      <c r="Z852" s="632"/>
      <c r="AA852" s="630"/>
      <c r="AB852" s="632">
        <f>AB853</f>
        <v>0</v>
      </c>
      <c r="AC852" s="626"/>
      <c r="AD852" s="638"/>
      <c r="AE852" s="616" t="s">
        <v>694</v>
      </c>
    </row>
    <row r="853" spans="1:31" s="639" customFormat="1" ht="33" customHeight="1">
      <c r="A853" s="2323"/>
      <c r="B853" s="2376"/>
      <c r="C853" s="2321">
        <v>1</v>
      </c>
      <c r="D853" s="2321" t="s">
        <v>65</v>
      </c>
      <c r="E853" s="2321" t="s">
        <v>198</v>
      </c>
      <c r="F853" s="2321" t="s">
        <v>66</v>
      </c>
      <c r="G853" s="2321" t="s">
        <v>368</v>
      </c>
      <c r="H853" s="2321" t="s">
        <v>65</v>
      </c>
      <c r="I853" s="2339" t="s">
        <v>785</v>
      </c>
      <c r="J853" s="58" t="s">
        <v>786</v>
      </c>
      <c r="K853" s="59">
        <v>6</v>
      </c>
      <c r="L853" s="2477">
        <v>150483974</v>
      </c>
      <c r="M853" s="443">
        <v>2</v>
      </c>
      <c r="N853" s="2489">
        <v>0</v>
      </c>
      <c r="O853" s="59">
        <v>1</v>
      </c>
      <c r="P853" s="2477">
        <v>234161150</v>
      </c>
      <c r="Q853" s="443">
        <v>0</v>
      </c>
      <c r="R853" s="2477">
        <v>0</v>
      </c>
      <c r="S853" s="59"/>
      <c r="T853" s="2323"/>
      <c r="U853" s="59"/>
      <c r="V853" s="2323"/>
      <c r="W853" s="59"/>
      <c r="X853" s="2323"/>
      <c r="Y853" s="59"/>
      <c r="Z853" s="2477">
        <f>R853+T856+V856+X856</f>
        <v>0</v>
      </c>
      <c r="AA853" s="59">
        <f t="shared" ref="AA853:AA856" si="233">M853+Y853</f>
        <v>2</v>
      </c>
      <c r="AB853" s="2477">
        <f>N853+Z853</f>
        <v>0</v>
      </c>
      <c r="AC853" s="1909">
        <f t="shared" ref="AC853:AC863" si="234">(AA853/K853)*100</f>
        <v>33.333333333333329</v>
      </c>
      <c r="AD853" s="2479">
        <f>(AB853/L853)*100</f>
        <v>0</v>
      </c>
      <c r="AE853" s="2323" t="s">
        <v>694</v>
      </c>
    </row>
    <row r="854" spans="1:31" s="639" customFormat="1" ht="25.5">
      <c r="A854" s="2392"/>
      <c r="B854" s="2485"/>
      <c r="C854" s="2382"/>
      <c r="D854" s="2382"/>
      <c r="E854" s="2382"/>
      <c r="F854" s="2382"/>
      <c r="G854" s="2382"/>
      <c r="H854" s="2382"/>
      <c r="I854" s="2383"/>
      <c r="J854" s="58" t="s">
        <v>787</v>
      </c>
      <c r="K854" s="59">
        <v>6</v>
      </c>
      <c r="L854" s="2484"/>
      <c r="M854" s="443">
        <v>2</v>
      </c>
      <c r="N854" s="2490"/>
      <c r="O854" s="59">
        <v>1</v>
      </c>
      <c r="P854" s="2484"/>
      <c r="Q854" s="443">
        <v>0</v>
      </c>
      <c r="R854" s="2484"/>
      <c r="S854" s="59"/>
      <c r="T854" s="2392"/>
      <c r="U854" s="59"/>
      <c r="V854" s="2392"/>
      <c r="W854" s="59"/>
      <c r="X854" s="2392"/>
      <c r="Y854" s="59"/>
      <c r="Z854" s="2484"/>
      <c r="AA854" s="59">
        <f t="shared" si="233"/>
        <v>2</v>
      </c>
      <c r="AB854" s="2484"/>
      <c r="AC854" s="1909">
        <f t="shared" si="234"/>
        <v>33.333333333333329</v>
      </c>
      <c r="AD854" s="2488"/>
      <c r="AE854" s="2392"/>
    </row>
    <row r="855" spans="1:31" s="639" customFormat="1" ht="25.5">
      <c r="A855" s="2392"/>
      <c r="B855" s="2485"/>
      <c r="C855" s="2382"/>
      <c r="D855" s="2382"/>
      <c r="E855" s="2382"/>
      <c r="F855" s="2382"/>
      <c r="G855" s="2382"/>
      <c r="H855" s="2382"/>
      <c r="I855" s="2383"/>
      <c r="J855" s="58" t="s">
        <v>788</v>
      </c>
      <c r="K855" s="59">
        <v>6</v>
      </c>
      <c r="L855" s="2484"/>
      <c r="M855" s="443">
        <v>2</v>
      </c>
      <c r="N855" s="2490"/>
      <c r="O855" s="59">
        <v>1</v>
      </c>
      <c r="P855" s="2484"/>
      <c r="Q855" s="443">
        <v>0</v>
      </c>
      <c r="R855" s="2484"/>
      <c r="S855" s="59"/>
      <c r="T855" s="2392"/>
      <c r="U855" s="59"/>
      <c r="V855" s="2392"/>
      <c r="W855" s="59"/>
      <c r="X855" s="2392"/>
      <c r="Y855" s="59"/>
      <c r="Z855" s="2484"/>
      <c r="AA855" s="59">
        <f t="shared" si="233"/>
        <v>2</v>
      </c>
      <c r="AB855" s="2484"/>
      <c r="AC855" s="1909">
        <f t="shared" si="234"/>
        <v>33.333333333333329</v>
      </c>
      <c r="AD855" s="2488"/>
      <c r="AE855" s="2392"/>
    </row>
    <row r="856" spans="1:31" s="639" customFormat="1" ht="25.5">
      <c r="A856" s="2324"/>
      <c r="B856" s="2377"/>
      <c r="C856" s="2322"/>
      <c r="D856" s="2322"/>
      <c r="E856" s="2322"/>
      <c r="F856" s="2322"/>
      <c r="G856" s="2322"/>
      <c r="H856" s="2322"/>
      <c r="I856" s="2340"/>
      <c r="J856" s="58" t="s">
        <v>789</v>
      </c>
      <c r="K856" s="59">
        <v>6</v>
      </c>
      <c r="L856" s="2478"/>
      <c r="M856" s="443">
        <v>2</v>
      </c>
      <c r="N856" s="2491"/>
      <c r="O856" s="59">
        <v>1</v>
      </c>
      <c r="P856" s="2478"/>
      <c r="Q856" s="443">
        <v>0</v>
      </c>
      <c r="R856" s="2478"/>
      <c r="S856" s="59"/>
      <c r="T856" s="2324"/>
      <c r="U856" s="59"/>
      <c r="V856" s="2324"/>
      <c r="W856" s="59"/>
      <c r="X856" s="2324"/>
      <c r="Y856" s="59">
        <f t="shared" ref="Y856" si="235">Q856+S856+U856+W856</f>
        <v>0</v>
      </c>
      <c r="Z856" s="2478"/>
      <c r="AA856" s="59">
        <f t="shared" si="233"/>
        <v>2</v>
      </c>
      <c r="AB856" s="2478"/>
      <c r="AC856" s="1909">
        <f t="shared" si="234"/>
        <v>33.333333333333329</v>
      </c>
      <c r="AD856" s="2480"/>
      <c r="AE856" s="2324"/>
    </row>
    <row r="857" spans="1:31" s="145" customFormat="1" ht="25.5">
      <c r="A857" s="630"/>
      <c r="B857" s="652"/>
      <c r="C857" s="623">
        <v>1</v>
      </c>
      <c r="D857" s="623" t="s">
        <v>65</v>
      </c>
      <c r="E857" s="623" t="s">
        <v>198</v>
      </c>
      <c r="F857" s="623" t="s">
        <v>66</v>
      </c>
      <c r="G857" s="623" t="s">
        <v>399</v>
      </c>
      <c r="H857" s="627"/>
      <c r="I857" s="57" t="s">
        <v>790</v>
      </c>
      <c r="J857" s="57"/>
      <c r="K857" s="630"/>
      <c r="L857" s="632">
        <f>L858</f>
        <v>1881075000</v>
      </c>
      <c r="M857" s="636"/>
      <c r="N857" s="637"/>
      <c r="O857" s="630"/>
      <c r="P857" s="632">
        <f>P858</f>
        <v>203325473</v>
      </c>
      <c r="Q857" s="636"/>
      <c r="R857" s="632"/>
      <c r="S857" s="630"/>
      <c r="T857" s="630"/>
      <c r="U857" s="630"/>
      <c r="V857" s="630"/>
      <c r="W857" s="630"/>
      <c r="X857" s="630"/>
      <c r="Y857" s="630"/>
      <c r="Z857" s="632"/>
      <c r="AA857" s="630"/>
      <c r="AB857" s="632">
        <f>AB858</f>
        <v>600186423</v>
      </c>
      <c r="AC857" s="1909"/>
      <c r="AD857" s="638"/>
      <c r="AE857" s="616" t="s">
        <v>694</v>
      </c>
    </row>
    <row r="858" spans="1:31" s="63" customFormat="1">
      <c r="A858" s="2323"/>
      <c r="B858" s="2376"/>
      <c r="C858" s="2321">
        <v>1</v>
      </c>
      <c r="D858" s="2321" t="s">
        <v>65</v>
      </c>
      <c r="E858" s="2321" t="s">
        <v>198</v>
      </c>
      <c r="F858" s="2321" t="s">
        <v>66</v>
      </c>
      <c r="G858" s="2321" t="s">
        <v>399</v>
      </c>
      <c r="H858" s="2321" t="s">
        <v>95</v>
      </c>
      <c r="I858" s="2339" t="s">
        <v>791</v>
      </c>
      <c r="J858" s="58" t="s">
        <v>792</v>
      </c>
      <c r="K858" s="59">
        <v>600</v>
      </c>
      <c r="L858" s="2477">
        <v>1881075000</v>
      </c>
      <c r="M858" s="443">
        <v>367</v>
      </c>
      <c r="N858" s="2489">
        <v>555510000</v>
      </c>
      <c r="O858" s="59">
        <v>100</v>
      </c>
      <c r="P858" s="2477">
        <v>203325473</v>
      </c>
      <c r="Q858" s="443">
        <v>89</v>
      </c>
      <c r="R858" s="2477">
        <v>44676423</v>
      </c>
      <c r="S858" s="59"/>
      <c r="T858" s="2323"/>
      <c r="U858" s="59"/>
      <c r="V858" s="2323"/>
      <c r="W858" s="59"/>
      <c r="X858" s="2323"/>
      <c r="Y858" s="59"/>
      <c r="Z858" s="2477">
        <f>R858+T863+V863+X863</f>
        <v>44676423</v>
      </c>
      <c r="AA858" s="59">
        <f t="shared" ref="AA858:AA863" si="236">M858+Y858</f>
        <v>367</v>
      </c>
      <c r="AB858" s="2477">
        <f>N858+Z858</f>
        <v>600186423</v>
      </c>
      <c r="AC858" s="1909">
        <f t="shared" si="234"/>
        <v>61.166666666666671</v>
      </c>
      <c r="AD858" s="2479">
        <f>(AB858/L858)*100</f>
        <v>31.906565288465373</v>
      </c>
      <c r="AE858" s="2323" t="s">
        <v>694</v>
      </c>
    </row>
    <row r="859" spans="1:31" s="63" customFormat="1" ht="18.75" customHeight="1">
      <c r="A859" s="2392"/>
      <c r="B859" s="2485"/>
      <c r="C859" s="2382"/>
      <c r="D859" s="2382"/>
      <c r="E859" s="2382"/>
      <c r="F859" s="2382"/>
      <c r="G859" s="2382"/>
      <c r="H859" s="2382"/>
      <c r="I859" s="2383"/>
      <c r="J859" s="58" t="s">
        <v>793</v>
      </c>
      <c r="K859" s="59">
        <v>300</v>
      </c>
      <c r="L859" s="2484"/>
      <c r="M859" s="443">
        <v>177</v>
      </c>
      <c r="N859" s="2490"/>
      <c r="O859" s="59">
        <v>50</v>
      </c>
      <c r="P859" s="2484"/>
      <c r="Q859" s="443">
        <v>0</v>
      </c>
      <c r="R859" s="2484"/>
      <c r="S859" s="59"/>
      <c r="T859" s="2392"/>
      <c r="U859" s="59"/>
      <c r="V859" s="2392"/>
      <c r="W859" s="59"/>
      <c r="X859" s="2392"/>
      <c r="Y859" s="59"/>
      <c r="Z859" s="2484"/>
      <c r="AA859" s="59">
        <f t="shared" si="236"/>
        <v>177</v>
      </c>
      <c r="AB859" s="2484"/>
      <c r="AC859" s="1909">
        <f t="shared" si="234"/>
        <v>59</v>
      </c>
      <c r="AD859" s="2488"/>
      <c r="AE859" s="2392"/>
    </row>
    <row r="860" spans="1:31" s="63" customFormat="1" ht="18.75" customHeight="1">
      <c r="A860" s="2392"/>
      <c r="B860" s="2485"/>
      <c r="C860" s="2382"/>
      <c r="D860" s="2382"/>
      <c r="E860" s="2382"/>
      <c r="F860" s="2382"/>
      <c r="G860" s="2382"/>
      <c r="H860" s="2382"/>
      <c r="I860" s="2383"/>
      <c r="J860" s="58" t="s">
        <v>794</v>
      </c>
      <c r="K860" s="59">
        <v>600</v>
      </c>
      <c r="L860" s="2484"/>
      <c r="M860" s="443">
        <v>290</v>
      </c>
      <c r="N860" s="2490"/>
      <c r="O860" s="59">
        <v>100</v>
      </c>
      <c r="P860" s="2484"/>
      <c r="Q860" s="443">
        <v>0</v>
      </c>
      <c r="R860" s="2484"/>
      <c r="S860" s="59"/>
      <c r="T860" s="2392"/>
      <c r="U860" s="59"/>
      <c r="V860" s="2392"/>
      <c r="W860" s="59"/>
      <c r="X860" s="2392"/>
      <c r="Y860" s="59"/>
      <c r="Z860" s="2484"/>
      <c r="AA860" s="59">
        <f t="shared" si="236"/>
        <v>290</v>
      </c>
      <c r="AB860" s="2484"/>
      <c r="AC860" s="1909">
        <f t="shared" si="234"/>
        <v>48.333333333333336</v>
      </c>
      <c r="AD860" s="2488"/>
      <c r="AE860" s="2392"/>
    </row>
    <row r="861" spans="1:31" s="63" customFormat="1">
      <c r="A861" s="2392"/>
      <c r="B861" s="2485"/>
      <c r="C861" s="2382"/>
      <c r="D861" s="2382"/>
      <c r="E861" s="2382"/>
      <c r="F861" s="2382"/>
      <c r="G861" s="2382"/>
      <c r="H861" s="2382"/>
      <c r="I861" s="2383"/>
      <c r="J861" s="58" t="s">
        <v>795</v>
      </c>
      <c r="K861" s="59">
        <v>6</v>
      </c>
      <c r="L861" s="2484"/>
      <c r="M861" s="443">
        <v>2</v>
      </c>
      <c r="N861" s="2490"/>
      <c r="O861" s="59">
        <v>1</v>
      </c>
      <c r="P861" s="2484"/>
      <c r="Q861" s="443">
        <v>0</v>
      </c>
      <c r="R861" s="2484"/>
      <c r="S861" s="59"/>
      <c r="T861" s="2392"/>
      <c r="U861" s="59"/>
      <c r="V861" s="2392"/>
      <c r="W861" s="59"/>
      <c r="X861" s="2392"/>
      <c r="Y861" s="59"/>
      <c r="Z861" s="2484"/>
      <c r="AA861" s="59">
        <f t="shared" si="236"/>
        <v>2</v>
      </c>
      <c r="AB861" s="2484"/>
      <c r="AC861" s="1909">
        <f t="shared" si="234"/>
        <v>33.333333333333329</v>
      </c>
      <c r="AD861" s="2488"/>
      <c r="AE861" s="2392"/>
    </row>
    <row r="862" spans="1:31" s="63" customFormat="1" ht="25.5">
      <c r="A862" s="2392"/>
      <c r="B862" s="2485"/>
      <c r="C862" s="2382"/>
      <c r="D862" s="2382"/>
      <c r="E862" s="2382"/>
      <c r="F862" s="2382"/>
      <c r="G862" s="2382"/>
      <c r="H862" s="2382"/>
      <c r="I862" s="2383"/>
      <c r="J862" s="58" t="s">
        <v>796</v>
      </c>
      <c r="K862" s="59">
        <v>6</v>
      </c>
      <c r="L862" s="2484"/>
      <c r="M862" s="443">
        <v>2</v>
      </c>
      <c r="N862" s="2490"/>
      <c r="O862" s="59">
        <v>1</v>
      </c>
      <c r="P862" s="2484"/>
      <c r="Q862" s="443">
        <v>0</v>
      </c>
      <c r="R862" s="2484"/>
      <c r="S862" s="59"/>
      <c r="T862" s="2392"/>
      <c r="U862" s="59"/>
      <c r="V862" s="2392"/>
      <c r="W862" s="59"/>
      <c r="X862" s="2392"/>
      <c r="Y862" s="59"/>
      <c r="Z862" s="2484"/>
      <c r="AA862" s="59">
        <f t="shared" si="236"/>
        <v>2</v>
      </c>
      <c r="AB862" s="2484"/>
      <c r="AC862" s="1909">
        <f t="shared" si="234"/>
        <v>33.333333333333329</v>
      </c>
      <c r="AD862" s="2488"/>
      <c r="AE862" s="2392"/>
    </row>
    <row r="863" spans="1:31" s="63" customFormat="1" ht="25.5">
      <c r="A863" s="2324"/>
      <c r="B863" s="2377"/>
      <c r="C863" s="2322"/>
      <c r="D863" s="2322"/>
      <c r="E863" s="2322"/>
      <c r="F863" s="2322"/>
      <c r="G863" s="2322"/>
      <c r="H863" s="2322"/>
      <c r="I863" s="2340"/>
      <c r="J863" s="58" t="s">
        <v>797</v>
      </c>
      <c r="K863" s="59">
        <v>6</v>
      </c>
      <c r="L863" s="2478"/>
      <c r="M863" s="443">
        <v>2</v>
      </c>
      <c r="N863" s="2491"/>
      <c r="O863" s="59">
        <v>1</v>
      </c>
      <c r="P863" s="2478"/>
      <c r="Q863" s="443">
        <v>0</v>
      </c>
      <c r="R863" s="2478"/>
      <c r="S863" s="59"/>
      <c r="T863" s="2324"/>
      <c r="U863" s="59"/>
      <c r="V863" s="2324"/>
      <c r="W863" s="59"/>
      <c r="X863" s="2324"/>
      <c r="Y863" s="59">
        <f t="shared" ref="Y863" si="237">Q863+S863+U863+W863</f>
        <v>0</v>
      </c>
      <c r="Z863" s="2478"/>
      <c r="AA863" s="59">
        <f t="shared" si="236"/>
        <v>2</v>
      </c>
      <c r="AB863" s="2478"/>
      <c r="AC863" s="1909">
        <f t="shared" si="234"/>
        <v>33.333333333333329</v>
      </c>
      <c r="AD863" s="2480"/>
      <c r="AE863" s="2324"/>
    </row>
    <row r="864" spans="1:31" s="145" customFormat="1" ht="25.5">
      <c r="A864" s="630"/>
      <c r="B864" s="652"/>
      <c r="C864" s="623">
        <v>1</v>
      </c>
      <c r="D864" s="623" t="s">
        <v>65</v>
      </c>
      <c r="E864" s="623" t="s">
        <v>107</v>
      </c>
      <c r="F864" s="623" t="s">
        <v>65</v>
      </c>
      <c r="G864" s="623" t="s">
        <v>161</v>
      </c>
      <c r="H864" s="627"/>
      <c r="I864" s="57" t="s">
        <v>798</v>
      </c>
      <c r="J864" s="57"/>
      <c r="K864" s="630"/>
      <c r="L864" s="632">
        <f>L865</f>
        <v>250000000</v>
      </c>
      <c r="M864" s="636"/>
      <c r="N864" s="637"/>
      <c r="O864" s="630"/>
      <c r="P864" s="632">
        <f>P865</f>
        <v>36230500</v>
      </c>
      <c r="Q864" s="636"/>
      <c r="R864" s="632"/>
      <c r="S864" s="630"/>
      <c r="T864" s="630"/>
      <c r="U864" s="630"/>
      <c r="V864" s="630"/>
      <c r="W864" s="630"/>
      <c r="X864" s="630"/>
      <c r="Y864" s="630"/>
      <c r="Z864" s="632"/>
      <c r="AA864" s="630"/>
      <c r="AB864" s="632">
        <f>AB865</f>
        <v>15736500</v>
      </c>
      <c r="AC864" s="626"/>
      <c r="AD864" s="638"/>
      <c r="AE864" s="616" t="s">
        <v>694</v>
      </c>
    </row>
    <row r="865" spans="1:31" s="63" customFormat="1">
      <c r="A865" s="2323"/>
      <c r="B865" s="2376"/>
      <c r="C865" s="2321">
        <v>1</v>
      </c>
      <c r="D865" s="2321" t="s">
        <v>65</v>
      </c>
      <c r="E865" s="2321" t="s">
        <v>107</v>
      </c>
      <c r="F865" s="2321" t="s">
        <v>65</v>
      </c>
      <c r="G865" s="2321" t="s">
        <v>161</v>
      </c>
      <c r="H865" s="2321" t="s">
        <v>202</v>
      </c>
      <c r="I865" s="2339" t="s">
        <v>799</v>
      </c>
      <c r="J865" s="58" t="s">
        <v>800</v>
      </c>
      <c r="K865" s="59">
        <v>6</v>
      </c>
      <c r="L865" s="2477">
        <v>250000000</v>
      </c>
      <c r="M865" s="443">
        <v>2</v>
      </c>
      <c r="N865" s="2489">
        <v>15736500</v>
      </c>
      <c r="O865" s="59">
        <v>1</v>
      </c>
      <c r="P865" s="2477">
        <v>36230500</v>
      </c>
      <c r="Q865" s="443">
        <v>0</v>
      </c>
      <c r="R865" s="2477">
        <v>0</v>
      </c>
      <c r="S865" s="59"/>
      <c r="T865" s="2323"/>
      <c r="U865" s="59"/>
      <c r="V865" s="2323"/>
      <c r="W865" s="59"/>
      <c r="X865" s="2323"/>
      <c r="Y865" s="59"/>
      <c r="Z865" s="2477">
        <f>R865+T866+V866+X866</f>
        <v>0</v>
      </c>
      <c r="AA865" s="59">
        <f>M865+Y865</f>
        <v>2</v>
      </c>
      <c r="AB865" s="2477">
        <f>N865+Z865</f>
        <v>15736500</v>
      </c>
      <c r="AC865" s="626">
        <f t="shared" ref="AC865" si="238">(AA865/K865)*100</f>
        <v>33.333333333333329</v>
      </c>
      <c r="AD865" s="2479">
        <f>(AB865/L865)*100</f>
        <v>6.2946</v>
      </c>
      <c r="AE865" s="2323" t="s">
        <v>694</v>
      </c>
    </row>
    <row r="866" spans="1:31" s="63" customFormat="1">
      <c r="A866" s="2324"/>
      <c r="B866" s="2377"/>
      <c r="C866" s="2322"/>
      <c r="D866" s="2322"/>
      <c r="E866" s="2322"/>
      <c r="F866" s="2322"/>
      <c r="G866" s="2322"/>
      <c r="H866" s="2322"/>
      <c r="I866" s="2340"/>
      <c r="J866" s="58" t="s">
        <v>801</v>
      </c>
      <c r="K866" s="59">
        <v>6</v>
      </c>
      <c r="L866" s="2478"/>
      <c r="M866" s="443">
        <v>2</v>
      </c>
      <c r="N866" s="2491"/>
      <c r="O866" s="59">
        <v>1</v>
      </c>
      <c r="P866" s="2478"/>
      <c r="Q866" s="443">
        <v>0</v>
      </c>
      <c r="R866" s="2478"/>
      <c r="S866" s="59"/>
      <c r="T866" s="2324"/>
      <c r="U866" s="59"/>
      <c r="V866" s="2324"/>
      <c r="W866" s="59"/>
      <c r="X866" s="2324"/>
      <c r="Y866" s="59">
        <f t="shared" ref="Y866" si="239">Q866+S866+U866+W866</f>
        <v>0</v>
      </c>
      <c r="Z866" s="2478"/>
      <c r="AA866" s="59">
        <f>M866+Y866</f>
        <v>2</v>
      </c>
      <c r="AB866" s="2478"/>
      <c r="AC866" s="626">
        <f>(AA866/K866)*100</f>
        <v>33.333333333333329</v>
      </c>
      <c r="AD866" s="2480"/>
      <c r="AE866" s="2324"/>
    </row>
    <row r="867" spans="1:31" ht="15.75" customHeight="1">
      <c r="A867" s="56"/>
      <c r="B867" s="56"/>
      <c r="C867" s="56"/>
      <c r="D867" s="2318"/>
      <c r="E867" s="2319"/>
      <c r="F867" s="2319"/>
      <c r="G867" s="2319"/>
      <c r="H867" s="2319"/>
      <c r="I867" s="2319"/>
      <c r="J867" s="2319"/>
      <c r="K867" s="2319"/>
      <c r="L867" s="2319"/>
      <c r="M867" s="2319"/>
      <c r="N867" s="2319"/>
      <c r="O867" s="2319"/>
      <c r="P867" s="2319"/>
      <c r="Q867" s="2319"/>
      <c r="R867" s="2319"/>
      <c r="S867" s="2319"/>
      <c r="T867" s="2319"/>
      <c r="U867" s="2319"/>
      <c r="V867" s="2319"/>
      <c r="W867" s="2319"/>
      <c r="X867" s="2319"/>
      <c r="Y867" s="2319"/>
      <c r="Z867" s="2319"/>
      <c r="AA867" s="2319"/>
      <c r="AB867" s="2319"/>
      <c r="AC867" s="2319"/>
      <c r="AD867" s="2319"/>
      <c r="AE867" s="2320"/>
    </row>
    <row r="868" spans="1:31" s="69" customFormat="1" ht="27.75" customHeight="1">
      <c r="A868" s="74">
        <v>15</v>
      </c>
      <c r="B868" s="74"/>
      <c r="C868" s="74"/>
      <c r="D868" s="74"/>
      <c r="E868" s="74"/>
      <c r="F868" s="74"/>
      <c r="G868" s="74"/>
      <c r="H868" s="74"/>
      <c r="I868" s="76" t="s">
        <v>142</v>
      </c>
      <c r="J868" s="74"/>
      <c r="K868" s="74"/>
      <c r="L868" s="74"/>
      <c r="M868" s="74"/>
      <c r="N868" s="74"/>
      <c r="O868" s="74"/>
      <c r="P868" s="74"/>
      <c r="Q868" s="74"/>
      <c r="R868" s="74"/>
      <c r="S868" s="74"/>
      <c r="T868" s="74"/>
      <c r="U868" s="74"/>
      <c r="V868" s="74"/>
      <c r="W868" s="74"/>
      <c r="X868" s="74"/>
      <c r="Y868" s="564"/>
      <c r="Z868" s="74"/>
      <c r="AA868" s="74"/>
      <c r="AB868" s="74"/>
      <c r="AC868" s="74"/>
      <c r="AD868" s="74"/>
      <c r="AE868" s="74"/>
    </row>
    <row r="869" spans="1:31" s="545" customFormat="1" ht="51" customHeight="1">
      <c r="A869" s="532"/>
      <c r="B869" s="533"/>
      <c r="C869" s="532" t="s">
        <v>146</v>
      </c>
      <c r="D869" s="532" t="s">
        <v>65</v>
      </c>
      <c r="E869" s="532" t="s">
        <v>66</v>
      </c>
      <c r="F869" s="534"/>
      <c r="G869" s="534"/>
      <c r="H869" s="535"/>
      <c r="I869" s="535" t="s">
        <v>520</v>
      </c>
      <c r="J869" s="534" t="s">
        <v>521</v>
      </c>
      <c r="K869" s="536">
        <f>SUM(K870:K883)</f>
        <v>1008</v>
      </c>
      <c r="L869" s="537">
        <f>SUM(L870:L883)</f>
        <v>7806354500</v>
      </c>
      <c r="M869" s="538">
        <f>SUM(M870:M883)</f>
        <v>336</v>
      </c>
      <c r="N869" s="539">
        <v>1906560189</v>
      </c>
      <c r="O869" s="538">
        <f>SUM(O870:O883)</f>
        <v>168</v>
      </c>
      <c r="P869" s="539">
        <f>SUM(P870:P883)</f>
        <v>736373855</v>
      </c>
      <c r="Q869" s="542">
        <f>(Q870+Q871+Q872+Q873+Q874+Q875+Q876+Q877+Q878+Q879+Q880+Q881+Q882+Q883)/14</f>
        <v>3</v>
      </c>
      <c r="R869" s="539">
        <f>SUM(R870:R883)</f>
        <v>102846107</v>
      </c>
      <c r="S869" s="540"/>
      <c r="T869" s="539"/>
      <c r="U869" s="540"/>
      <c r="V869" s="539"/>
      <c r="W869" s="540"/>
      <c r="X869" s="539"/>
      <c r="Y869" s="541">
        <f>(Y870+Y871+Y872+Y873+Y874+Y875+Y876+Y877+Y878+Y879+Y880+Y881+Y882+Y883)/14</f>
        <v>2.5714285714285716</v>
      </c>
      <c r="Z869" s="539">
        <f>SUM(Z870:Z883)</f>
        <v>102846107</v>
      </c>
      <c r="AA869" s="542">
        <f>(AA870+AA871+AA872+AA873+AA874+AA875+AA876+AA877+AA878+AA879+AA880+AA881+AA882+AA883)/14</f>
        <v>26.571428571428573</v>
      </c>
      <c r="AB869" s="543">
        <f t="shared" ref="AB869:AB915" si="240">N869+Z869</f>
        <v>2009406296</v>
      </c>
      <c r="AC869" s="544">
        <f t="shared" ref="AC869:AD896" si="241">(AA869/K869)*100</f>
        <v>2.6360544217687076</v>
      </c>
      <c r="AD869" s="540">
        <f t="shared" si="241"/>
        <v>25.740648800922379</v>
      </c>
      <c r="AE869" s="536" t="s">
        <v>522</v>
      </c>
    </row>
    <row r="870" spans="1:31" s="512" customFormat="1" ht="51" customHeight="1">
      <c r="A870" s="500"/>
      <c r="B870" s="500"/>
      <c r="C870" s="501" t="s">
        <v>146</v>
      </c>
      <c r="D870" s="501" t="s">
        <v>65</v>
      </c>
      <c r="E870" s="501" t="s">
        <v>66</v>
      </c>
      <c r="F870" s="501" t="s">
        <v>65</v>
      </c>
      <c r="G870" s="500"/>
      <c r="H870" s="500"/>
      <c r="I870" s="502" t="s">
        <v>195</v>
      </c>
      <c r="J870" s="500" t="s">
        <v>523</v>
      </c>
      <c r="K870" s="503">
        <v>72</v>
      </c>
      <c r="L870" s="504">
        <v>458693000</v>
      </c>
      <c r="M870" s="503">
        <v>24</v>
      </c>
      <c r="N870" s="504">
        <v>125548679</v>
      </c>
      <c r="O870" s="505">
        <v>12</v>
      </c>
      <c r="P870" s="504">
        <v>80400000</v>
      </c>
      <c r="Q870" s="510">
        <v>3</v>
      </c>
      <c r="R870" s="504">
        <v>7630299</v>
      </c>
      <c r="S870" s="500"/>
      <c r="T870" s="507"/>
      <c r="U870" s="500"/>
      <c r="V870" s="504"/>
      <c r="W870" s="508"/>
      <c r="X870" s="504"/>
      <c r="Y870" s="505">
        <v>3</v>
      </c>
      <c r="Z870" s="504">
        <v>7630299</v>
      </c>
      <c r="AA870" s="509">
        <f t="shared" ref="AA870:AA915" si="242">M870+Y870</f>
        <v>27</v>
      </c>
      <c r="AB870" s="510">
        <f t="shared" si="240"/>
        <v>133178978</v>
      </c>
      <c r="AC870" s="511">
        <f t="shared" si="241"/>
        <v>37.5</v>
      </c>
      <c r="AD870" s="508">
        <f t="shared" si="241"/>
        <v>29.034447440880939</v>
      </c>
      <c r="AE870" s="500"/>
    </row>
    <row r="871" spans="1:31" s="512" customFormat="1" ht="42" customHeight="1">
      <c r="A871" s="500"/>
      <c r="B871" s="500"/>
      <c r="C871" s="501" t="s">
        <v>146</v>
      </c>
      <c r="D871" s="501" t="s">
        <v>65</v>
      </c>
      <c r="E871" s="501" t="s">
        <v>66</v>
      </c>
      <c r="F871" s="501" t="s">
        <v>196</v>
      </c>
      <c r="G871" s="500"/>
      <c r="H871" s="500"/>
      <c r="I871" s="502" t="s">
        <v>524</v>
      </c>
      <c r="J871" s="500" t="s">
        <v>525</v>
      </c>
      <c r="K871" s="503">
        <v>72</v>
      </c>
      <c r="L871" s="504">
        <v>1307900000</v>
      </c>
      <c r="M871" s="503">
        <v>24</v>
      </c>
      <c r="N871" s="504">
        <v>463960000</v>
      </c>
      <c r="O871" s="505">
        <v>12</v>
      </c>
      <c r="P871" s="504">
        <v>44822025</v>
      </c>
      <c r="Q871" s="510">
        <v>3</v>
      </c>
      <c r="R871" s="504"/>
      <c r="S871" s="500"/>
      <c r="T871" s="507"/>
      <c r="U871" s="500"/>
      <c r="V871" s="504"/>
      <c r="W871" s="508"/>
      <c r="X871" s="504"/>
      <c r="Y871" s="503"/>
      <c r="Z871" s="504"/>
      <c r="AA871" s="509">
        <f t="shared" si="242"/>
        <v>24</v>
      </c>
      <c r="AB871" s="510">
        <f t="shared" si="240"/>
        <v>463960000</v>
      </c>
      <c r="AC871" s="511">
        <f t="shared" si="241"/>
        <v>33.333333333333329</v>
      </c>
      <c r="AD871" s="508">
        <f t="shared" si="241"/>
        <v>35.473660065754267</v>
      </c>
      <c r="AE871" s="500"/>
    </row>
    <row r="872" spans="1:31" s="512" customFormat="1" ht="45" customHeight="1">
      <c r="A872" s="500"/>
      <c r="B872" s="500"/>
      <c r="C872" s="501" t="s">
        <v>146</v>
      </c>
      <c r="D872" s="501" t="s">
        <v>65</v>
      </c>
      <c r="E872" s="501" t="s">
        <v>66</v>
      </c>
      <c r="F872" s="501" t="s">
        <v>198</v>
      </c>
      <c r="G872" s="500"/>
      <c r="H872" s="500"/>
      <c r="I872" s="502" t="s">
        <v>199</v>
      </c>
      <c r="J872" s="500" t="s">
        <v>526</v>
      </c>
      <c r="K872" s="503">
        <v>72</v>
      </c>
      <c r="L872" s="504">
        <v>390400000</v>
      </c>
      <c r="M872" s="503">
        <v>24</v>
      </c>
      <c r="N872" s="504">
        <v>125137000</v>
      </c>
      <c r="O872" s="505">
        <v>12</v>
      </c>
      <c r="P872" s="504">
        <v>119100000</v>
      </c>
      <c r="Q872" s="510">
        <v>3</v>
      </c>
      <c r="R872" s="504">
        <v>18600000</v>
      </c>
      <c r="S872" s="500"/>
      <c r="T872" s="510"/>
      <c r="U872" s="513"/>
      <c r="V872" s="504"/>
      <c r="W872" s="508"/>
      <c r="X872" s="504"/>
      <c r="Y872" s="503">
        <v>3</v>
      </c>
      <c r="Z872" s="504">
        <v>18600000</v>
      </c>
      <c r="AA872" s="509">
        <f t="shared" si="242"/>
        <v>27</v>
      </c>
      <c r="AB872" s="510">
        <f t="shared" si="240"/>
        <v>143737000</v>
      </c>
      <c r="AC872" s="511">
        <f t="shared" si="241"/>
        <v>37.5</v>
      </c>
      <c r="AD872" s="508">
        <f t="shared" si="241"/>
        <v>36.817879098360656</v>
      </c>
      <c r="AE872" s="500"/>
    </row>
    <row r="873" spans="1:31" s="512" customFormat="1" ht="45.75" customHeight="1">
      <c r="A873" s="500"/>
      <c r="B873" s="500"/>
      <c r="C873" s="501" t="s">
        <v>146</v>
      </c>
      <c r="D873" s="501" t="s">
        <v>65</v>
      </c>
      <c r="E873" s="501" t="s">
        <v>66</v>
      </c>
      <c r="F873" s="501" t="s">
        <v>93</v>
      </c>
      <c r="G873" s="500"/>
      <c r="H873" s="500"/>
      <c r="I873" s="502" t="s">
        <v>200</v>
      </c>
      <c r="J873" s="500" t="s">
        <v>527</v>
      </c>
      <c r="K873" s="503">
        <v>72</v>
      </c>
      <c r="L873" s="504">
        <v>276581000</v>
      </c>
      <c r="M873" s="503">
        <v>24</v>
      </c>
      <c r="N873" s="504">
        <v>65014000</v>
      </c>
      <c r="O873" s="505">
        <v>12</v>
      </c>
      <c r="P873" s="504">
        <v>17712500</v>
      </c>
      <c r="Q873" s="510">
        <v>3</v>
      </c>
      <c r="R873" s="504">
        <v>2708000</v>
      </c>
      <c r="S873" s="500"/>
      <c r="T873" s="510"/>
      <c r="U873" s="500"/>
      <c r="V873" s="504"/>
      <c r="W873" s="508"/>
      <c r="X873" s="504"/>
      <c r="Y873" s="503">
        <v>3</v>
      </c>
      <c r="Z873" s="504">
        <v>2708000</v>
      </c>
      <c r="AA873" s="509">
        <f t="shared" si="242"/>
        <v>27</v>
      </c>
      <c r="AB873" s="510">
        <f t="shared" si="240"/>
        <v>67722000</v>
      </c>
      <c r="AC873" s="511">
        <f t="shared" si="241"/>
        <v>37.5</v>
      </c>
      <c r="AD873" s="508">
        <f t="shared" si="241"/>
        <v>24.485412953167426</v>
      </c>
      <c r="AE873" s="500"/>
    </row>
    <row r="874" spans="1:31" s="512" customFormat="1" ht="36.75" customHeight="1">
      <c r="A874" s="500"/>
      <c r="B874" s="500"/>
      <c r="C874" s="501" t="s">
        <v>146</v>
      </c>
      <c r="D874" s="501" t="s">
        <v>65</v>
      </c>
      <c r="E874" s="501" t="s">
        <v>66</v>
      </c>
      <c r="F874" s="501" t="s">
        <v>201</v>
      </c>
      <c r="G874" s="500"/>
      <c r="H874" s="500"/>
      <c r="I874" s="502" t="s">
        <v>528</v>
      </c>
      <c r="J874" s="500" t="s">
        <v>529</v>
      </c>
      <c r="K874" s="503">
        <v>72</v>
      </c>
      <c r="L874" s="504">
        <v>1307900000</v>
      </c>
      <c r="M874" s="503">
        <v>24</v>
      </c>
      <c r="N874" s="504">
        <v>30970500</v>
      </c>
      <c r="O874" s="505">
        <v>12</v>
      </c>
      <c r="P874" s="504">
        <v>21880000</v>
      </c>
      <c r="Q874" s="510">
        <v>3</v>
      </c>
      <c r="R874" s="504"/>
      <c r="S874" s="500"/>
      <c r="T874" s="510"/>
      <c r="U874" s="500"/>
      <c r="V874" s="504"/>
      <c r="W874" s="508"/>
      <c r="X874" s="504"/>
      <c r="Y874" s="503"/>
      <c r="Z874" s="504"/>
      <c r="AA874" s="509">
        <f t="shared" si="242"/>
        <v>24</v>
      </c>
      <c r="AB874" s="510">
        <f t="shared" si="240"/>
        <v>30970500</v>
      </c>
      <c r="AC874" s="511">
        <f t="shared" si="241"/>
        <v>33.333333333333329</v>
      </c>
      <c r="AD874" s="508">
        <f t="shared" si="241"/>
        <v>2.3679562657695543</v>
      </c>
      <c r="AE874" s="500"/>
    </row>
    <row r="875" spans="1:31" s="512" customFormat="1" ht="46.5" customHeight="1">
      <c r="A875" s="500"/>
      <c r="B875" s="500"/>
      <c r="C875" s="501" t="s">
        <v>146</v>
      </c>
      <c r="D875" s="501" t="s">
        <v>65</v>
      </c>
      <c r="E875" s="501" t="s">
        <v>66</v>
      </c>
      <c r="F875" s="501" t="s">
        <v>202</v>
      </c>
      <c r="G875" s="500"/>
      <c r="H875" s="500"/>
      <c r="I875" s="502" t="s">
        <v>203</v>
      </c>
      <c r="J875" s="500" t="s">
        <v>530</v>
      </c>
      <c r="K875" s="503">
        <v>72</v>
      </c>
      <c r="L875" s="504">
        <v>249965100</v>
      </c>
      <c r="M875" s="503">
        <v>24</v>
      </c>
      <c r="N875" s="504">
        <v>77185030</v>
      </c>
      <c r="O875" s="505">
        <v>12</v>
      </c>
      <c r="P875" s="504">
        <v>34097870</v>
      </c>
      <c r="Q875" s="510">
        <v>3</v>
      </c>
      <c r="R875" s="504">
        <v>3724500</v>
      </c>
      <c r="S875" s="500"/>
      <c r="T875" s="510"/>
      <c r="U875" s="500"/>
      <c r="V875" s="504"/>
      <c r="W875" s="508"/>
      <c r="X875" s="504"/>
      <c r="Y875" s="503">
        <v>3</v>
      </c>
      <c r="Z875" s="504">
        <v>3724500</v>
      </c>
      <c r="AA875" s="509">
        <f t="shared" si="242"/>
        <v>27</v>
      </c>
      <c r="AB875" s="510">
        <f t="shared" si="240"/>
        <v>80909530</v>
      </c>
      <c r="AC875" s="511">
        <f t="shared" si="241"/>
        <v>37.5</v>
      </c>
      <c r="AD875" s="508">
        <f t="shared" si="241"/>
        <v>32.368330618954403</v>
      </c>
      <c r="AE875" s="500"/>
    </row>
    <row r="876" spans="1:31" s="512" customFormat="1" ht="47.25" customHeight="1">
      <c r="A876" s="500"/>
      <c r="B876" s="500"/>
      <c r="C876" s="501" t="s">
        <v>146</v>
      </c>
      <c r="D876" s="501" t="s">
        <v>65</v>
      </c>
      <c r="E876" s="501" t="s">
        <v>66</v>
      </c>
      <c r="F876" s="501" t="s">
        <v>417</v>
      </c>
      <c r="G876" s="500"/>
      <c r="H876" s="500"/>
      <c r="I876" s="502" t="s">
        <v>204</v>
      </c>
      <c r="J876" s="500" t="s">
        <v>531</v>
      </c>
      <c r="K876" s="503">
        <v>72</v>
      </c>
      <c r="L876" s="504">
        <v>515573400</v>
      </c>
      <c r="M876" s="503">
        <v>24</v>
      </c>
      <c r="N876" s="504">
        <v>142130320</v>
      </c>
      <c r="O876" s="505">
        <v>12</v>
      </c>
      <c r="P876" s="504">
        <v>30550600</v>
      </c>
      <c r="Q876" s="510">
        <v>3</v>
      </c>
      <c r="R876" s="504">
        <v>2780000</v>
      </c>
      <c r="S876" s="500"/>
      <c r="T876" s="510"/>
      <c r="U876" s="500"/>
      <c r="V876" s="504"/>
      <c r="W876" s="508"/>
      <c r="X876" s="504"/>
      <c r="Y876" s="503">
        <v>3</v>
      </c>
      <c r="Z876" s="504">
        <v>2780000</v>
      </c>
      <c r="AA876" s="509">
        <f t="shared" si="242"/>
        <v>27</v>
      </c>
      <c r="AB876" s="510">
        <f t="shared" si="240"/>
        <v>144910320</v>
      </c>
      <c r="AC876" s="511">
        <f t="shared" si="241"/>
        <v>37.5</v>
      </c>
      <c r="AD876" s="508">
        <f t="shared" si="241"/>
        <v>28.106632343716726</v>
      </c>
      <c r="AE876" s="500"/>
    </row>
    <row r="877" spans="1:31" s="512" customFormat="1" ht="45.75" customHeight="1">
      <c r="A877" s="500"/>
      <c r="B877" s="500"/>
      <c r="C877" s="501" t="s">
        <v>146</v>
      </c>
      <c r="D877" s="501" t="s">
        <v>65</v>
      </c>
      <c r="E877" s="501" t="s">
        <v>66</v>
      </c>
      <c r="F877" s="501" t="s">
        <v>160</v>
      </c>
      <c r="G877" s="500"/>
      <c r="H877" s="500"/>
      <c r="I877" s="502" t="s">
        <v>205</v>
      </c>
      <c r="J877" s="500" t="s">
        <v>532</v>
      </c>
      <c r="K877" s="503">
        <v>72</v>
      </c>
      <c r="L877" s="504">
        <v>63682000</v>
      </c>
      <c r="M877" s="503">
        <v>24</v>
      </c>
      <c r="N877" s="504">
        <v>17707000</v>
      </c>
      <c r="O877" s="505">
        <v>12</v>
      </c>
      <c r="P877" s="504">
        <v>17079910</v>
      </c>
      <c r="Q877" s="510">
        <v>3</v>
      </c>
      <c r="R877" s="504">
        <v>692238</v>
      </c>
      <c r="S877" s="500"/>
      <c r="T877" s="510"/>
      <c r="U877" s="511"/>
      <c r="V877" s="504"/>
      <c r="W877" s="508"/>
      <c r="X877" s="504"/>
      <c r="Y877" s="503">
        <v>3</v>
      </c>
      <c r="Z877" s="504">
        <v>692238</v>
      </c>
      <c r="AA877" s="509">
        <f t="shared" si="242"/>
        <v>27</v>
      </c>
      <c r="AB877" s="510">
        <f t="shared" si="240"/>
        <v>18399238</v>
      </c>
      <c r="AC877" s="511">
        <f t="shared" si="241"/>
        <v>37.5</v>
      </c>
      <c r="AD877" s="508">
        <f t="shared" si="241"/>
        <v>28.892368330140382</v>
      </c>
      <c r="AE877" s="500"/>
    </row>
    <row r="878" spans="1:31" s="512" customFormat="1" ht="47.25" customHeight="1">
      <c r="A878" s="500"/>
      <c r="B878" s="500"/>
      <c r="C878" s="501" t="s">
        <v>146</v>
      </c>
      <c r="D878" s="501" t="s">
        <v>65</v>
      </c>
      <c r="E878" s="501" t="s">
        <v>66</v>
      </c>
      <c r="F878" s="501" t="s">
        <v>155</v>
      </c>
      <c r="G878" s="500"/>
      <c r="H878" s="500"/>
      <c r="I878" s="502" t="s">
        <v>533</v>
      </c>
      <c r="J878" s="500" t="s">
        <v>534</v>
      </c>
      <c r="K878" s="503">
        <v>72</v>
      </c>
      <c r="L878" s="504">
        <v>122400000</v>
      </c>
      <c r="M878" s="503">
        <v>24</v>
      </c>
      <c r="N878" s="504">
        <v>35800000</v>
      </c>
      <c r="O878" s="505">
        <v>12</v>
      </c>
      <c r="P878" s="504">
        <v>14500000</v>
      </c>
      <c r="Q878" s="510">
        <v>3</v>
      </c>
      <c r="R878" s="504">
        <v>720000</v>
      </c>
      <c r="S878" s="500"/>
      <c r="T878" s="510"/>
      <c r="U878" s="500"/>
      <c r="V878" s="504"/>
      <c r="W878" s="508"/>
      <c r="X878" s="504"/>
      <c r="Y878" s="503">
        <v>3</v>
      </c>
      <c r="Z878" s="504">
        <v>720000</v>
      </c>
      <c r="AA878" s="509">
        <f t="shared" si="242"/>
        <v>27</v>
      </c>
      <c r="AB878" s="510">
        <f t="shared" si="240"/>
        <v>36520000</v>
      </c>
      <c r="AC878" s="511">
        <f t="shared" si="241"/>
        <v>37.5</v>
      </c>
      <c r="AD878" s="508">
        <f t="shared" si="241"/>
        <v>29.836601307189543</v>
      </c>
      <c r="AE878" s="500"/>
    </row>
    <row r="879" spans="1:31" s="512" customFormat="1" ht="43.5" customHeight="1">
      <c r="A879" s="500"/>
      <c r="B879" s="500"/>
      <c r="C879" s="501" t="s">
        <v>146</v>
      </c>
      <c r="D879" s="501" t="s">
        <v>65</v>
      </c>
      <c r="E879" s="501" t="s">
        <v>66</v>
      </c>
      <c r="F879" s="501" t="s">
        <v>448</v>
      </c>
      <c r="G879" s="500"/>
      <c r="H879" s="500"/>
      <c r="I879" s="502" t="s">
        <v>206</v>
      </c>
      <c r="J879" s="500" t="s">
        <v>535</v>
      </c>
      <c r="K879" s="503">
        <v>72</v>
      </c>
      <c r="L879" s="504">
        <v>202150000</v>
      </c>
      <c r="M879" s="503">
        <v>24</v>
      </c>
      <c r="N879" s="504">
        <v>45797500</v>
      </c>
      <c r="O879" s="505">
        <v>12</v>
      </c>
      <c r="P879" s="504">
        <v>49850000</v>
      </c>
      <c r="Q879" s="510">
        <v>3</v>
      </c>
      <c r="R879" s="504">
        <v>4930200</v>
      </c>
      <c r="S879" s="500"/>
      <c r="T879" s="510"/>
      <c r="U879" s="500"/>
      <c r="V879" s="504"/>
      <c r="W879" s="508"/>
      <c r="X879" s="504"/>
      <c r="Y879" s="503">
        <v>3</v>
      </c>
      <c r="Z879" s="504">
        <v>4930200</v>
      </c>
      <c r="AA879" s="509">
        <f t="shared" si="242"/>
        <v>27</v>
      </c>
      <c r="AB879" s="510">
        <f t="shared" si="240"/>
        <v>50727700</v>
      </c>
      <c r="AC879" s="511">
        <f t="shared" si="241"/>
        <v>37.5</v>
      </c>
      <c r="AD879" s="508">
        <f t="shared" si="241"/>
        <v>25.094088548107841</v>
      </c>
      <c r="AE879" s="500"/>
    </row>
    <row r="880" spans="1:31" s="512" customFormat="1" ht="48" customHeight="1">
      <c r="A880" s="500"/>
      <c r="B880" s="500"/>
      <c r="C880" s="501" t="s">
        <v>146</v>
      </c>
      <c r="D880" s="501" t="s">
        <v>65</v>
      </c>
      <c r="E880" s="501" t="s">
        <v>66</v>
      </c>
      <c r="F880" s="501" t="s">
        <v>167</v>
      </c>
      <c r="G880" s="500"/>
      <c r="H880" s="500"/>
      <c r="I880" s="502" t="s">
        <v>207</v>
      </c>
      <c r="J880" s="500" t="s">
        <v>536</v>
      </c>
      <c r="K880" s="503">
        <v>72</v>
      </c>
      <c r="L880" s="504">
        <v>1419650000</v>
      </c>
      <c r="M880" s="503">
        <v>24</v>
      </c>
      <c r="N880" s="504">
        <v>344217400</v>
      </c>
      <c r="O880" s="505">
        <v>12</v>
      </c>
      <c r="P880" s="504">
        <v>115350000</v>
      </c>
      <c r="Q880" s="510">
        <v>3</v>
      </c>
      <c r="R880" s="504">
        <v>38328200</v>
      </c>
      <c r="S880" s="500"/>
      <c r="T880" s="510"/>
      <c r="U880" s="500"/>
      <c r="V880" s="504"/>
      <c r="W880" s="508"/>
      <c r="X880" s="504"/>
      <c r="Y880" s="503">
        <v>3</v>
      </c>
      <c r="Z880" s="504">
        <v>38328200</v>
      </c>
      <c r="AA880" s="509">
        <f t="shared" si="242"/>
        <v>27</v>
      </c>
      <c r="AB880" s="510">
        <f t="shared" si="240"/>
        <v>382545600</v>
      </c>
      <c r="AC880" s="511">
        <f t="shared" si="241"/>
        <v>37.5</v>
      </c>
      <c r="AD880" s="508">
        <f t="shared" si="241"/>
        <v>26.946472722149828</v>
      </c>
      <c r="AE880" s="500"/>
    </row>
    <row r="881" spans="1:31" s="512" customFormat="1" ht="47.25" customHeight="1">
      <c r="A881" s="500"/>
      <c r="B881" s="500"/>
      <c r="C881" s="501" t="s">
        <v>146</v>
      </c>
      <c r="D881" s="501" t="s">
        <v>65</v>
      </c>
      <c r="E881" s="501" t="s">
        <v>66</v>
      </c>
      <c r="F881" s="501" t="s">
        <v>376</v>
      </c>
      <c r="G881" s="500"/>
      <c r="H881" s="500"/>
      <c r="I881" s="502" t="s">
        <v>208</v>
      </c>
      <c r="J881" s="500" t="s">
        <v>537</v>
      </c>
      <c r="K881" s="503">
        <v>72</v>
      </c>
      <c r="L881" s="504">
        <v>1062200000</v>
      </c>
      <c r="M881" s="503">
        <v>24</v>
      </c>
      <c r="N881" s="504">
        <v>316250000</v>
      </c>
      <c r="O881" s="505">
        <v>12</v>
      </c>
      <c r="P881" s="504">
        <v>63900000</v>
      </c>
      <c r="Q881" s="510">
        <v>3</v>
      </c>
      <c r="R881" s="504">
        <v>9500000</v>
      </c>
      <c r="S881" s="500"/>
      <c r="T881" s="510"/>
      <c r="U881" s="500"/>
      <c r="V881" s="504"/>
      <c r="W881" s="508"/>
      <c r="X881" s="504"/>
      <c r="Y881" s="503">
        <v>3</v>
      </c>
      <c r="Z881" s="504">
        <v>9500000</v>
      </c>
      <c r="AA881" s="509">
        <f t="shared" si="242"/>
        <v>27</v>
      </c>
      <c r="AB881" s="510">
        <f t="shared" si="240"/>
        <v>325750000</v>
      </c>
      <c r="AC881" s="511">
        <f t="shared" si="241"/>
        <v>37.5</v>
      </c>
      <c r="AD881" s="508">
        <f t="shared" si="241"/>
        <v>30.667482583317639</v>
      </c>
      <c r="AE881" s="500"/>
    </row>
    <row r="882" spans="1:31" s="512" customFormat="1" ht="45" customHeight="1">
      <c r="A882" s="500"/>
      <c r="B882" s="500"/>
      <c r="C882" s="501" t="s">
        <v>146</v>
      </c>
      <c r="D882" s="501" t="s">
        <v>65</v>
      </c>
      <c r="E882" s="501" t="s">
        <v>66</v>
      </c>
      <c r="F882" s="501" t="s">
        <v>163</v>
      </c>
      <c r="G882" s="500"/>
      <c r="H882" s="500"/>
      <c r="I882" s="502" t="s">
        <v>538</v>
      </c>
      <c r="J882" s="500" t="s">
        <v>539</v>
      </c>
      <c r="K882" s="503">
        <v>72</v>
      </c>
      <c r="L882" s="504">
        <v>351260000</v>
      </c>
      <c r="M882" s="503">
        <v>24</v>
      </c>
      <c r="N882" s="504">
        <v>90842760</v>
      </c>
      <c r="O882" s="505">
        <v>12</v>
      </c>
      <c r="P882" s="504">
        <v>114130950</v>
      </c>
      <c r="Q882" s="510">
        <v>3</v>
      </c>
      <c r="R882" s="504">
        <v>11232670</v>
      </c>
      <c r="S882" s="500"/>
      <c r="T882" s="510"/>
      <c r="U882" s="500"/>
      <c r="V882" s="504"/>
      <c r="W882" s="508"/>
      <c r="X882" s="504"/>
      <c r="Y882" s="503">
        <v>3</v>
      </c>
      <c r="Z882" s="504">
        <v>11232670</v>
      </c>
      <c r="AA882" s="509">
        <f t="shared" si="242"/>
        <v>27</v>
      </c>
      <c r="AB882" s="510">
        <f t="shared" si="240"/>
        <v>102075430</v>
      </c>
      <c r="AC882" s="511">
        <f t="shared" si="241"/>
        <v>37.5</v>
      </c>
      <c r="AD882" s="508">
        <f t="shared" si="241"/>
        <v>29.059793315492797</v>
      </c>
      <c r="AE882" s="500"/>
    </row>
    <row r="883" spans="1:31" s="512" customFormat="1" ht="45.75" customHeight="1">
      <c r="A883" s="500"/>
      <c r="B883" s="500"/>
      <c r="C883" s="501" t="s">
        <v>146</v>
      </c>
      <c r="D883" s="501" t="s">
        <v>65</v>
      </c>
      <c r="E883" s="501" t="s">
        <v>66</v>
      </c>
      <c r="F883" s="501" t="s">
        <v>363</v>
      </c>
      <c r="G883" s="500"/>
      <c r="H883" s="514"/>
      <c r="I883" s="502" t="s">
        <v>540</v>
      </c>
      <c r="J883" s="500" t="s">
        <v>541</v>
      </c>
      <c r="K883" s="503">
        <v>72</v>
      </c>
      <c r="L883" s="504">
        <v>78000000</v>
      </c>
      <c r="M883" s="503">
        <v>24</v>
      </c>
      <c r="N883" s="504">
        <v>26000000</v>
      </c>
      <c r="O883" s="505">
        <v>12</v>
      </c>
      <c r="P883" s="504">
        <v>13000000</v>
      </c>
      <c r="Q883" s="510">
        <v>3</v>
      </c>
      <c r="R883" s="504">
        <v>2000000</v>
      </c>
      <c r="S883" s="500"/>
      <c r="T883" s="510"/>
      <c r="U883" s="513"/>
      <c r="V883" s="504"/>
      <c r="W883" s="508"/>
      <c r="X883" s="504"/>
      <c r="Y883" s="515">
        <v>3</v>
      </c>
      <c r="Z883" s="504">
        <v>2000000</v>
      </c>
      <c r="AA883" s="509">
        <f t="shared" si="242"/>
        <v>27</v>
      </c>
      <c r="AB883" s="510">
        <f t="shared" si="240"/>
        <v>28000000</v>
      </c>
      <c r="AC883" s="511">
        <f t="shared" si="241"/>
        <v>37.5</v>
      </c>
      <c r="AD883" s="508">
        <f t="shared" si="241"/>
        <v>35.897435897435898</v>
      </c>
      <c r="AE883" s="500"/>
    </row>
    <row r="884" spans="1:31" s="559" customFormat="1" ht="51.75" customHeight="1">
      <c r="A884" s="546"/>
      <c r="B884" s="547"/>
      <c r="C884" s="548" t="s">
        <v>146</v>
      </c>
      <c r="D884" s="548" t="s">
        <v>65</v>
      </c>
      <c r="E884" s="548" t="s">
        <v>65</v>
      </c>
      <c r="F884" s="549"/>
      <c r="G884" s="549"/>
      <c r="H884" s="550"/>
      <c r="I884" s="550" t="s">
        <v>162</v>
      </c>
      <c r="J884" s="549" t="s">
        <v>542</v>
      </c>
      <c r="K884" s="551">
        <v>100</v>
      </c>
      <c r="L884" s="552">
        <f>SUM(L885:L887)</f>
        <v>2954809000</v>
      </c>
      <c r="M884" s="572">
        <v>40</v>
      </c>
      <c r="N884" s="552">
        <f>SUM(N885:N887)</f>
        <v>1139091550</v>
      </c>
      <c r="O884" s="553">
        <v>20</v>
      </c>
      <c r="P884" s="552">
        <f>SUM(P885:P887)</f>
        <v>493262539</v>
      </c>
      <c r="Q884" s="572">
        <v>5</v>
      </c>
      <c r="R884" s="552">
        <f>SUM(R885:R887)</f>
        <v>62195962</v>
      </c>
      <c r="S884" s="554"/>
      <c r="T884" s="552"/>
      <c r="U884" s="554"/>
      <c r="V884" s="552"/>
      <c r="W884" s="554"/>
      <c r="X884" s="552"/>
      <c r="Y884" s="572">
        <f>Q884</f>
        <v>5</v>
      </c>
      <c r="Z884" s="552">
        <f>SUM(Z885:Z887)</f>
        <v>62195962</v>
      </c>
      <c r="AA884" s="573">
        <f t="shared" si="242"/>
        <v>45</v>
      </c>
      <c r="AB884" s="556">
        <f t="shared" si="240"/>
        <v>1201287512</v>
      </c>
      <c r="AC884" s="557">
        <f t="shared" si="241"/>
        <v>45</v>
      </c>
      <c r="AD884" s="574">
        <f t="shared" si="241"/>
        <v>40.655335488689794</v>
      </c>
      <c r="AE884" s="551" t="s">
        <v>522</v>
      </c>
    </row>
    <row r="885" spans="1:31" s="512" customFormat="1" ht="35.25" customHeight="1">
      <c r="A885" s="500"/>
      <c r="B885" s="500"/>
      <c r="C885" s="501" t="s">
        <v>146</v>
      </c>
      <c r="D885" s="501" t="s">
        <v>65</v>
      </c>
      <c r="E885" s="501" t="s">
        <v>65</v>
      </c>
      <c r="F885" s="501" t="s">
        <v>161</v>
      </c>
      <c r="G885" s="516"/>
      <c r="H885" s="517"/>
      <c r="I885" s="502" t="s">
        <v>543</v>
      </c>
      <c r="J885" s="500" t="s">
        <v>544</v>
      </c>
      <c r="K885" s="503">
        <v>4</v>
      </c>
      <c r="L885" s="504">
        <v>800000000</v>
      </c>
      <c r="M885" s="515">
        <v>0</v>
      </c>
      <c r="N885" s="504">
        <v>532871100</v>
      </c>
      <c r="O885" s="503">
        <v>1</v>
      </c>
      <c r="P885" s="504">
        <v>56357539</v>
      </c>
      <c r="Q885" s="515">
        <v>0</v>
      </c>
      <c r="R885" s="504"/>
      <c r="S885" s="500"/>
      <c r="T885" s="510"/>
      <c r="U885" s="500"/>
      <c r="V885" s="504"/>
      <c r="W885" s="508"/>
      <c r="X885" s="504"/>
      <c r="Y885" s="503"/>
      <c r="Z885" s="504"/>
      <c r="AA885" s="511">
        <f t="shared" si="242"/>
        <v>0</v>
      </c>
      <c r="AB885" s="510">
        <f t="shared" si="240"/>
        <v>532871100</v>
      </c>
      <c r="AC885" s="511">
        <f t="shared" si="241"/>
        <v>0</v>
      </c>
      <c r="AD885" s="504">
        <f t="shared" si="241"/>
        <v>66.608887500000009</v>
      </c>
      <c r="AE885" s="500"/>
    </row>
    <row r="886" spans="1:31" s="512" customFormat="1" ht="41.25" customHeight="1">
      <c r="A886" s="500"/>
      <c r="B886" s="500"/>
      <c r="C886" s="501" t="s">
        <v>146</v>
      </c>
      <c r="D886" s="501" t="s">
        <v>65</v>
      </c>
      <c r="E886" s="501" t="s">
        <v>65</v>
      </c>
      <c r="F886" s="501" t="s">
        <v>163</v>
      </c>
      <c r="G886" s="516"/>
      <c r="H886" s="517"/>
      <c r="I886" s="518" t="s">
        <v>545</v>
      </c>
      <c r="J886" s="500" t="s">
        <v>546</v>
      </c>
      <c r="K886" s="503">
        <v>72</v>
      </c>
      <c r="L886" s="504">
        <v>508500000</v>
      </c>
      <c r="M886" s="519">
        <v>24</v>
      </c>
      <c r="N886" s="504">
        <v>167250000</v>
      </c>
      <c r="O886" s="519">
        <v>12</v>
      </c>
      <c r="P886" s="504">
        <v>83600000</v>
      </c>
      <c r="Q886" s="520">
        <v>25</v>
      </c>
      <c r="R886" s="504">
        <v>4000000</v>
      </c>
      <c r="S886" s="500"/>
      <c r="T886" s="510"/>
      <c r="U886" s="500"/>
      <c r="V886" s="504"/>
      <c r="W886" s="508"/>
      <c r="X886" s="504"/>
      <c r="Y886" s="515">
        <v>3</v>
      </c>
      <c r="Z886" s="504">
        <v>4000000</v>
      </c>
      <c r="AA886" s="511">
        <f t="shared" si="242"/>
        <v>27</v>
      </c>
      <c r="AB886" s="510">
        <f t="shared" si="240"/>
        <v>171250000</v>
      </c>
      <c r="AC886" s="511">
        <f t="shared" si="241"/>
        <v>37.5</v>
      </c>
      <c r="AD886" s="504">
        <f t="shared" si="241"/>
        <v>33.677482792527044</v>
      </c>
      <c r="AE886" s="500"/>
    </row>
    <row r="887" spans="1:31" s="512" customFormat="1" ht="47.25" customHeight="1">
      <c r="A887" s="500"/>
      <c r="B887" s="500"/>
      <c r="C887" s="501" t="s">
        <v>146</v>
      </c>
      <c r="D887" s="501" t="s">
        <v>65</v>
      </c>
      <c r="E887" s="501" t="s">
        <v>65</v>
      </c>
      <c r="F887" s="501" t="s">
        <v>165</v>
      </c>
      <c r="G887" s="516"/>
      <c r="H887" s="517"/>
      <c r="I887" s="502" t="s">
        <v>547</v>
      </c>
      <c r="J887" s="500" t="s">
        <v>548</v>
      </c>
      <c r="K887" s="503">
        <v>72</v>
      </c>
      <c r="L887" s="504">
        <v>1646309000</v>
      </c>
      <c r="M887" s="519">
        <v>24</v>
      </c>
      <c r="N887" s="504">
        <v>438970450</v>
      </c>
      <c r="O887" s="519">
        <v>12</v>
      </c>
      <c r="P887" s="504">
        <v>353305000</v>
      </c>
      <c r="Q887" s="515" t="s">
        <v>549</v>
      </c>
      <c r="R887" s="504">
        <v>58195962</v>
      </c>
      <c r="S887" s="500"/>
      <c r="T887" s="510"/>
      <c r="U887" s="500"/>
      <c r="V887" s="504"/>
      <c r="W887" s="508"/>
      <c r="X887" s="504"/>
      <c r="Y887" s="503">
        <v>3</v>
      </c>
      <c r="Z887" s="504">
        <v>58195962</v>
      </c>
      <c r="AA887" s="511">
        <f t="shared" si="242"/>
        <v>27</v>
      </c>
      <c r="AB887" s="510">
        <f t="shared" si="240"/>
        <v>497166412</v>
      </c>
      <c r="AC887" s="511">
        <f t="shared" si="241"/>
        <v>37.5</v>
      </c>
      <c r="AD887" s="504">
        <f t="shared" si="241"/>
        <v>30.198851612911064</v>
      </c>
      <c r="AE887" s="500"/>
    </row>
    <row r="888" spans="1:31" s="559" customFormat="1" ht="48" customHeight="1">
      <c r="A888" s="546"/>
      <c r="B888" s="547"/>
      <c r="C888" s="583">
        <v>1</v>
      </c>
      <c r="D888" s="583" t="s">
        <v>65</v>
      </c>
      <c r="E888" s="583" t="s">
        <v>95</v>
      </c>
      <c r="F888" s="583"/>
      <c r="G888" s="549"/>
      <c r="H888" s="550"/>
      <c r="I888" s="550" t="s">
        <v>550</v>
      </c>
      <c r="J888" s="546" t="s">
        <v>551</v>
      </c>
      <c r="K888" s="576">
        <v>5</v>
      </c>
      <c r="L888" s="558">
        <v>1250000000</v>
      </c>
      <c r="M888" s="578">
        <v>1</v>
      </c>
      <c r="N888" s="578">
        <v>103833800</v>
      </c>
      <c r="O888" s="578">
        <f t="shared" ref="O888" si="243">O889</f>
        <v>0</v>
      </c>
      <c r="P888" s="578"/>
      <c r="Q888" s="578"/>
      <c r="R888" s="578"/>
      <c r="S888" s="578"/>
      <c r="T888" s="578"/>
      <c r="U888" s="578"/>
      <c r="V888" s="578"/>
      <c r="W888" s="578"/>
      <c r="X888" s="578"/>
      <c r="Y888" s="578"/>
      <c r="Z888" s="578"/>
      <c r="AA888" s="557">
        <f t="shared" si="242"/>
        <v>1</v>
      </c>
      <c r="AB888" s="579">
        <f t="shared" si="240"/>
        <v>103833800</v>
      </c>
      <c r="AC888" s="557">
        <f t="shared" si="241"/>
        <v>20</v>
      </c>
      <c r="AD888" s="558">
        <f t="shared" si="241"/>
        <v>8.3067039999999999</v>
      </c>
      <c r="AE888" s="576" t="s">
        <v>522</v>
      </c>
    </row>
    <row r="889" spans="1:31" s="512" customFormat="1" ht="39.75" customHeight="1">
      <c r="A889" s="500"/>
      <c r="B889" s="500"/>
      <c r="C889" s="501">
        <v>1</v>
      </c>
      <c r="D889" s="501" t="s">
        <v>65</v>
      </c>
      <c r="E889" s="501" t="s">
        <v>95</v>
      </c>
      <c r="F889" s="501" t="s">
        <v>66</v>
      </c>
      <c r="G889" s="516"/>
      <c r="H889" s="517"/>
      <c r="I889" s="502" t="s">
        <v>552</v>
      </c>
      <c r="J889" s="500" t="s">
        <v>553</v>
      </c>
      <c r="K889" s="503">
        <v>5</v>
      </c>
      <c r="L889" s="504">
        <v>1250000000</v>
      </c>
      <c r="M889" s="515">
        <v>1</v>
      </c>
      <c r="N889" s="504">
        <v>103833800</v>
      </c>
      <c r="O889" s="515"/>
      <c r="P889" s="504"/>
      <c r="Q889" s="515"/>
      <c r="R889" s="504"/>
      <c r="S889" s="504"/>
      <c r="T889" s="504"/>
      <c r="U889" s="504"/>
      <c r="V889" s="504"/>
      <c r="W889" s="521"/>
      <c r="X889" s="504"/>
      <c r="Y889" s="515"/>
      <c r="Z889" s="504"/>
      <c r="AA889" s="511">
        <f t="shared" si="242"/>
        <v>1</v>
      </c>
      <c r="AB889" s="510">
        <f t="shared" si="240"/>
        <v>103833800</v>
      </c>
      <c r="AC889" s="511">
        <f t="shared" si="241"/>
        <v>20</v>
      </c>
      <c r="AD889" s="504">
        <f t="shared" si="241"/>
        <v>8.3067039999999999</v>
      </c>
      <c r="AE889" s="500"/>
    </row>
    <row r="890" spans="1:31" s="559" customFormat="1" ht="70.5" customHeight="1">
      <c r="A890" s="546"/>
      <c r="B890" s="547"/>
      <c r="C890" s="549">
        <v>1</v>
      </c>
      <c r="D890" s="548" t="s">
        <v>65</v>
      </c>
      <c r="E890" s="548" t="s">
        <v>197</v>
      </c>
      <c r="F890" s="549"/>
      <c r="G890" s="549"/>
      <c r="H890" s="550"/>
      <c r="I890" s="575" t="s">
        <v>554</v>
      </c>
      <c r="J890" s="549" t="s">
        <v>555</v>
      </c>
      <c r="K890" s="576">
        <f>K891</f>
        <v>72</v>
      </c>
      <c r="L890" s="558">
        <f>L891</f>
        <v>507707790</v>
      </c>
      <c r="M890" s="576">
        <f>M891</f>
        <v>24</v>
      </c>
      <c r="N890" s="558">
        <v>165442416</v>
      </c>
      <c r="O890" s="576">
        <f t="shared" ref="O890" si="244">O891</f>
        <v>12</v>
      </c>
      <c r="P890" s="558">
        <f>P891</f>
        <v>131239036</v>
      </c>
      <c r="Q890" s="574">
        <f>Q891</f>
        <v>25</v>
      </c>
      <c r="R890" s="558">
        <f>R891</f>
        <v>6732760</v>
      </c>
      <c r="S890" s="576"/>
      <c r="T890" s="577"/>
      <c r="U890" s="576"/>
      <c r="V890" s="577"/>
      <c r="W890" s="576"/>
      <c r="X890" s="577"/>
      <c r="Y890" s="578">
        <v>3</v>
      </c>
      <c r="Z890" s="558">
        <f>Z891</f>
        <v>6732760</v>
      </c>
      <c r="AA890" s="557">
        <f t="shared" si="242"/>
        <v>27</v>
      </c>
      <c r="AB890" s="579">
        <f t="shared" si="240"/>
        <v>172175176</v>
      </c>
      <c r="AC890" s="557">
        <f t="shared" si="241"/>
        <v>37.5</v>
      </c>
      <c r="AD890" s="558">
        <f t="shared" si="241"/>
        <v>33.91225807269965</v>
      </c>
      <c r="AE890" s="576" t="s">
        <v>522</v>
      </c>
    </row>
    <row r="891" spans="1:31" s="512" customFormat="1" ht="45" customHeight="1">
      <c r="A891" s="500"/>
      <c r="B891" s="500"/>
      <c r="C891" s="500">
        <v>1</v>
      </c>
      <c r="D891" s="501" t="s">
        <v>65</v>
      </c>
      <c r="E891" s="501" t="s">
        <v>197</v>
      </c>
      <c r="F891" s="501" t="s">
        <v>198</v>
      </c>
      <c r="G891" s="500"/>
      <c r="H891" s="514"/>
      <c r="I891" s="502" t="s">
        <v>556</v>
      </c>
      <c r="J891" s="500" t="s">
        <v>557</v>
      </c>
      <c r="K891" s="503">
        <v>72</v>
      </c>
      <c r="L891" s="504">
        <v>507707790</v>
      </c>
      <c r="M891" s="503">
        <v>24</v>
      </c>
      <c r="N891" s="504">
        <v>165442416</v>
      </c>
      <c r="O891" s="503">
        <v>12</v>
      </c>
      <c r="P891" s="504">
        <v>131239036</v>
      </c>
      <c r="Q891" s="520">
        <v>25</v>
      </c>
      <c r="R891" s="504">
        <v>6732760</v>
      </c>
      <c r="S891" s="500"/>
      <c r="T891" s="510"/>
      <c r="U891" s="500"/>
      <c r="V891" s="504"/>
      <c r="W891" s="508"/>
      <c r="X891" s="504"/>
      <c r="Y891" s="503">
        <v>3</v>
      </c>
      <c r="Z891" s="504">
        <v>6732760</v>
      </c>
      <c r="AA891" s="511">
        <f t="shared" si="242"/>
        <v>27</v>
      </c>
      <c r="AB891" s="510">
        <f t="shared" si="240"/>
        <v>172175176</v>
      </c>
      <c r="AC891" s="511">
        <f t="shared" si="241"/>
        <v>37.5</v>
      </c>
      <c r="AD891" s="504">
        <f t="shared" si="241"/>
        <v>33.91225807269965</v>
      </c>
      <c r="AE891" s="500"/>
    </row>
    <row r="892" spans="1:31" s="559" customFormat="1" ht="54.75" customHeight="1">
      <c r="A892" s="546"/>
      <c r="B892" s="547"/>
      <c r="C892" s="548" t="s">
        <v>146</v>
      </c>
      <c r="D892" s="548" t="s">
        <v>65</v>
      </c>
      <c r="E892" s="548" t="s">
        <v>201</v>
      </c>
      <c r="F892" s="548" t="s">
        <v>155</v>
      </c>
      <c r="G892" s="549"/>
      <c r="H892" s="550"/>
      <c r="I892" s="550" t="s">
        <v>558</v>
      </c>
      <c r="J892" s="549" t="s">
        <v>559</v>
      </c>
      <c r="K892" s="576">
        <f t="shared" ref="K892:Q892" si="245">K893</f>
        <v>17</v>
      </c>
      <c r="L892" s="558">
        <f t="shared" si="245"/>
        <v>27450321877</v>
      </c>
      <c r="M892" s="576">
        <f t="shared" si="245"/>
        <v>2</v>
      </c>
      <c r="N892" s="558">
        <f t="shared" si="245"/>
        <v>3006530877</v>
      </c>
      <c r="O892" s="576">
        <f t="shared" si="245"/>
        <v>3</v>
      </c>
      <c r="P892" s="578">
        <f t="shared" si="245"/>
        <v>4443791000</v>
      </c>
      <c r="Q892" s="578">
        <f t="shared" si="245"/>
        <v>0</v>
      </c>
      <c r="R892" s="578">
        <f>R893</f>
        <v>62551400</v>
      </c>
      <c r="S892" s="574"/>
      <c r="T892" s="558"/>
      <c r="U892" s="574"/>
      <c r="V892" s="558"/>
      <c r="W892" s="574"/>
      <c r="X892" s="558"/>
      <c r="Y892" s="578">
        <f t="shared" ref="Y892" si="246">Y893</f>
        <v>0</v>
      </c>
      <c r="Z892" s="578">
        <f>Z893</f>
        <v>62551400</v>
      </c>
      <c r="AA892" s="557">
        <f t="shared" si="242"/>
        <v>2</v>
      </c>
      <c r="AB892" s="579">
        <f t="shared" si="240"/>
        <v>3069082277</v>
      </c>
      <c r="AC892" s="557">
        <f t="shared" si="241"/>
        <v>11.76470588235294</v>
      </c>
      <c r="AD892" s="558">
        <f t="shared" si="241"/>
        <v>11.180496501104836</v>
      </c>
      <c r="AE892" s="576" t="s">
        <v>522</v>
      </c>
    </row>
    <row r="893" spans="1:31" s="512" customFormat="1" ht="39.75" customHeight="1">
      <c r="A893" s="500"/>
      <c r="B893" s="500"/>
      <c r="C893" s="501" t="s">
        <v>146</v>
      </c>
      <c r="D893" s="501" t="s">
        <v>65</v>
      </c>
      <c r="E893" s="501" t="s">
        <v>201</v>
      </c>
      <c r="F893" s="501" t="s">
        <v>155</v>
      </c>
      <c r="G893" s="501">
        <v>40</v>
      </c>
      <c r="H893" s="500"/>
      <c r="I893" s="500" t="s">
        <v>560</v>
      </c>
      <c r="J893" s="500" t="s">
        <v>561</v>
      </c>
      <c r="K893" s="503">
        <v>17</v>
      </c>
      <c r="L893" s="504">
        <v>27450321877</v>
      </c>
      <c r="M893" s="519">
        <v>2</v>
      </c>
      <c r="N893" s="504">
        <v>3006530877</v>
      </c>
      <c r="O893" s="503">
        <v>3</v>
      </c>
      <c r="P893" s="504">
        <v>4443791000</v>
      </c>
      <c r="Q893" s="503"/>
      <c r="R893" s="504">
        <v>62551400</v>
      </c>
      <c r="S893" s="500"/>
      <c r="T893" s="510"/>
      <c r="U893" s="500"/>
      <c r="V893" s="504"/>
      <c r="W893" s="508"/>
      <c r="X893" s="504"/>
      <c r="Y893" s="503"/>
      <c r="Z893" s="504">
        <v>62551400</v>
      </c>
      <c r="AA893" s="511">
        <f t="shared" si="242"/>
        <v>2</v>
      </c>
      <c r="AB893" s="510">
        <f t="shared" si="240"/>
        <v>3069082277</v>
      </c>
      <c r="AC893" s="511">
        <f t="shared" si="241"/>
        <v>11.76470588235294</v>
      </c>
      <c r="AD893" s="504">
        <f t="shared" si="241"/>
        <v>11.180496501104836</v>
      </c>
      <c r="AE893" s="500"/>
    </row>
    <row r="894" spans="1:31" s="559" customFormat="1" ht="63.75">
      <c r="A894" s="549"/>
      <c r="B894" s="547"/>
      <c r="C894" s="548" t="s">
        <v>146</v>
      </c>
      <c r="D894" s="548" t="s">
        <v>65</v>
      </c>
      <c r="E894" s="548" t="s">
        <v>201</v>
      </c>
      <c r="F894" s="548">
        <v>15</v>
      </c>
      <c r="G894" s="549"/>
      <c r="H894" s="550"/>
      <c r="I894" s="550" t="s">
        <v>562</v>
      </c>
      <c r="J894" s="549" t="s">
        <v>563</v>
      </c>
      <c r="K894" s="549">
        <f>SUM(K895:K896)</f>
        <v>25</v>
      </c>
      <c r="L894" s="552">
        <f>L895+L896</f>
        <v>2140156690</v>
      </c>
      <c r="M894" s="551">
        <f>SUM(M895:M896)</f>
        <v>7</v>
      </c>
      <c r="N894" s="552">
        <f>N895+N896</f>
        <v>461730650</v>
      </c>
      <c r="O894" s="551">
        <f>SUM(O895:O896)</f>
        <v>2</v>
      </c>
      <c r="P894" s="552">
        <f>P895+P896</f>
        <v>89241070</v>
      </c>
      <c r="Q894" s="580">
        <f>(Q895+Q896)/2</f>
        <v>0</v>
      </c>
      <c r="R894" s="552">
        <f>R895+R896</f>
        <v>1309560</v>
      </c>
      <c r="S894" s="554"/>
      <c r="T894" s="552"/>
      <c r="U894" s="554"/>
      <c r="V894" s="552"/>
      <c r="W894" s="554"/>
      <c r="X894" s="552"/>
      <c r="Y894" s="580">
        <f>(Y895+Y896)/2</f>
        <v>0</v>
      </c>
      <c r="Z894" s="552">
        <f>Z895+Z896</f>
        <v>1309560</v>
      </c>
      <c r="AA894" s="555">
        <f t="shared" si="242"/>
        <v>7</v>
      </c>
      <c r="AB894" s="556">
        <f t="shared" si="240"/>
        <v>463040210</v>
      </c>
      <c r="AC894" s="557">
        <f t="shared" si="241"/>
        <v>28.000000000000004</v>
      </c>
      <c r="AD894" s="558">
        <f t="shared" si="241"/>
        <v>21.635808824820206</v>
      </c>
      <c r="AE894" s="551" t="s">
        <v>522</v>
      </c>
    </row>
    <row r="895" spans="1:31" s="512" customFormat="1" ht="51">
      <c r="A895" s="500"/>
      <c r="B895" s="500"/>
      <c r="C895" s="501" t="s">
        <v>146</v>
      </c>
      <c r="D895" s="501" t="s">
        <v>65</v>
      </c>
      <c r="E895" s="501" t="s">
        <v>201</v>
      </c>
      <c r="F895" s="501" t="s">
        <v>166</v>
      </c>
      <c r="G895" s="501">
        <v>13</v>
      </c>
      <c r="H895" s="500"/>
      <c r="I895" s="500" t="s">
        <v>564</v>
      </c>
      <c r="J895" s="500" t="s">
        <v>565</v>
      </c>
      <c r="K895" s="500">
        <v>18</v>
      </c>
      <c r="L895" s="504">
        <v>1110197260</v>
      </c>
      <c r="M895" s="503">
        <v>4</v>
      </c>
      <c r="N895" s="504">
        <v>197920910</v>
      </c>
      <c r="O895" s="503">
        <v>1</v>
      </c>
      <c r="P895" s="504">
        <v>36401350</v>
      </c>
      <c r="Q895" s="503"/>
      <c r="R895" s="504"/>
      <c r="S895" s="500"/>
      <c r="T895" s="510"/>
      <c r="U895" s="500"/>
      <c r="V895" s="504"/>
      <c r="W895" s="508"/>
      <c r="X895" s="504"/>
      <c r="Y895" s="503"/>
      <c r="Z895" s="504"/>
      <c r="AA895" s="511">
        <f t="shared" si="242"/>
        <v>4</v>
      </c>
      <c r="AB895" s="510">
        <f t="shared" si="240"/>
        <v>197920910</v>
      </c>
      <c r="AC895" s="511">
        <f t="shared" si="241"/>
        <v>22.222222222222221</v>
      </c>
      <c r="AD895" s="504">
        <f t="shared" si="241"/>
        <v>17.827544449172933</v>
      </c>
      <c r="AE895" s="500"/>
    </row>
    <row r="896" spans="1:31" s="499" customFormat="1" ht="38.25">
      <c r="A896" s="516"/>
      <c r="B896" s="500"/>
      <c r="C896" s="501" t="s">
        <v>146</v>
      </c>
      <c r="D896" s="501" t="s">
        <v>65</v>
      </c>
      <c r="E896" s="501" t="s">
        <v>201</v>
      </c>
      <c r="F896" s="501" t="s">
        <v>166</v>
      </c>
      <c r="G896" s="501">
        <v>14</v>
      </c>
      <c r="H896" s="500"/>
      <c r="I896" s="500" t="s">
        <v>566</v>
      </c>
      <c r="J896" s="500" t="s">
        <v>567</v>
      </c>
      <c r="K896" s="522">
        <v>7</v>
      </c>
      <c r="L896" s="504">
        <v>1029959430</v>
      </c>
      <c r="M896" s="519">
        <v>3</v>
      </c>
      <c r="N896" s="504">
        <v>263809740</v>
      </c>
      <c r="O896" s="519">
        <v>1</v>
      </c>
      <c r="P896" s="504">
        <v>52839720</v>
      </c>
      <c r="Q896" s="523">
        <v>0</v>
      </c>
      <c r="R896" s="524">
        <v>1309560</v>
      </c>
      <c r="S896" s="500"/>
      <c r="T896" s="510"/>
      <c r="U896" s="500"/>
      <c r="V896" s="524"/>
      <c r="W896" s="521"/>
      <c r="X896" s="504"/>
      <c r="Y896" s="523"/>
      <c r="Z896" s="524">
        <v>1309560</v>
      </c>
      <c r="AA896" s="511">
        <f t="shared" si="242"/>
        <v>3</v>
      </c>
      <c r="AB896" s="510">
        <f t="shared" si="240"/>
        <v>265119300</v>
      </c>
      <c r="AC896" s="511">
        <f t="shared" si="241"/>
        <v>42.857142857142854</v>
      </c>
      <c r="AD896" s="504">
        <f t="shared" si="241"/>
        <v>25.740751749804357</v>
      </c>
      <c r="AE896" s="516"/>
    </row>
    <row r="897" spans="1:31" s="559" customFormat="1" ht="47.25" customHeight="1">
      <c r="A897" s="546"/>
      <c r="B897" s="547"/>
      <c r="C897" s="548" t="s">
        <v>146</v>
      </c>
      <c r="D897" s="548" t="s">
        <v>65</v>
      </c>
      <c r="E897" s="548" t="s">
        <v>201</v>
      </c>
      <c r="F897" s="548" t="s">
        <v>448</v>
      </c>
      <c r="G897" s="549"/>
      <c r="H897" s="550"/>
      <c r="I897" s="550" t="s">
        <v>568</v>
      </c>
      <c r="J897" s="549" t="s">
        <v>569</v>
      </c>
      <c r="K897" s="576"/>
      <c r="L897" s="558">
        <f>SUM(L898:L903)</f>
        <v>6152269160</v>
      </c>
      <c r="M897" s="581"/>
      <c r="N897" s="558">
        <f>SUM(N898:N903)</f>
        <v>1430348550</v>
      </c>
      <c r="O897" s="576"/>
      <c r="P897" s="558">
        <f>SUM(P898:P903)</f>
        <v>307623630</v>
      </c>
      <c r="Q897" s="574">
        <f>(Q898+Q899+Q900+Q901+Q902+Q903)/6</f>
        <v>16.666666666666668</v>
      </c>
      <c r="R897" s="558">
        <f>SUM(R898:R903)</f>
        <v>92036020</v>
      </c>
      <c r="S897" s="574"/>
      <c r="T897" s="558"/>
      <c r="U897" s="574"/>
      <c r="V897" s="558"/>
      <c r="W897" s="574"/>
      <c r="X897" s="558"/>
      <c r="Y897" s="582">
        <f>(Y898+Y899+Y900+Y901+Y902+Y903)/6</f>
        <v>2</v>
      </c>
      <c r="Z897" s="558">
        <f>SUM(Z898:Z903)</f>
        <v>92036020</v>
      </c>
      <c r="AA897" s="557">
        <f t="shared" si="242"/>
        <v>2</v>
      </c>
      <c r="AB897" s="579">
        <f t="shared" si="240"/>
        <v>1522384570</v>
      </c>
      <c r="AC897" s="557">
        <f>SUM(AC898:AC903)/6</f>
        <v>31.666666666666668</v>
      </c>
      <c r="AD897" s="558">
        <f t="shared" ref="AD897:AD915" si="247">(AB897/L897)*100</f>
        <v>24.745090476503144</v>
      </c>
      <c r="AE897" s="576" t="s">
        <v>522</v>
      </c>
    </row>
    <row r="898" spans="1:31" s="512" customFormat="1" ht="38.25">
      <c r="A898" s="500"/>
      <c r="B898" s="500"/>
      <c r="C898" s="501" t="s">
        <v>146</v>
      </c>
      <c r="D898" s="501" t="s">
        <v>65</v>
      </c>
      <c r="E898" s="501" t="s">
        <v>201</v>
      </c>
      <c r="F898" s="501" t="s">
        <v>448</v>
      </c>
      <c r="G898" s="501" t="s">
        <v>167</v>
      </c>
      <c r="H898" s="500"/>
      <c r="I898" s="502" t="s">
        <v>570</v>
      </c>
      <c r="J898" s="500" t="s">
        <v>571</v>
      </c>
      <c r="K898" s="503">
        <v>72</v>
      </c>
      <c r="L898" s="504">
        <v>1579879500</v>
      </c>
      <c r="M898" s="503">
        <v>24</v>
      </c>
      <c r="N898" s="504">
        <v>342663720</v>
      </c>
      <c r="O898" s="503">
        <v>12</v>
      </c>
      <c r="P898" s="504">
        <v>96800000</v>
      </c>
      <c r="Q898" s="506">
        <v>25</v>
      </c>
      <c r="R898" s="504">
        <v>17400000</v>
      </c>
      <c r="S898" s="500"/>
      <c r="T898" s="510"/>
      <c r="U898" s="500"/>
      <c r="V898" s="504"/>
      <c r="W898" s="508"/>
      <c r="X898" s="504"/>
      <c r="Y898" s="503">
        <v>3</v>
      </c>
      <c r="Z898" s="504">
        <v>17400000</v>
      </c>
      <c r="AA898" s="511">
        <f t="shared" si="242"/>
        <v>27</v>
      </c>
      <c r="AB898" s="510">
        <f t="shared" si="240"/>
        <v>360063720</v>
      </c>
      <c r="AC898" s="511">
        <f t="shared" ref="AC898:AC905" si="248">(AA898/K898)*100</f>
        <v>37.5</v>
      </c>
      <c r="AD898" s="504">
        <f t="shared" si="247"/>
        <v>22.790581180400153</v>
      </c>
      <c r="AE898" s="500"/>
    </row>
    <row r="899" spans="1:31" s="512" customFormat="1" ht="51">
      <c r="A899" s="500"/>
      <c r="B899" s="500"/>
      <c r="C899" s="501" t="s">
        <v>146</v>
      </c>
      <c r="D899" s="501" t="s">
        <v>65</v>
      </c>
      <c r="E899" s="501" t="s">
        <v>201</v>
      </c>
      <c r="F899" s="501" t="s">
        <v>448</v>
      </c>
      <c r="G899" s="501" t="s">
        <v>165</v>
      </c>
      <c r="H899" s="500"/>
      <c r="I899" s="502" t="s">
        <v>572</v>
      </c>
      <c r="J899" s="500" t="s">
        <v>573</v>
      </c>
      <c r="K899" s="503">
        <v>72</v>
      </c>
      <c r="L899" s="504">
        <v>1220761500</v>
      </c>
      <c r="M899" s="503">
        <v>24</v>
      </c>
      <c r="N899" s="504">
        <v>254183850</v>
      </c>
      <c r="O899" s="503">
        <v>12</v>
      </c>
      <c r="P899" s="504">
        <v>6449500</v>
      </c>
      <c r="Q899" s="503">
        <v>25</v>
      </c>
      <c r="R899" s="504">
        <v>18318900</v>
      </c>
      <c r="S899" s="500"/>
      <c r="T899" s="510"/>
      <c r="U899" s="511"/>
      <c r="V899" s="504"/>
      <c r="W899" s="508"/>
      <c r="X899" s="504"/>
      <c r="Y899" s="503">
        <v>3</v>
      </c>
      <c r="Z899" s="504">
        <v>18318900</v>
      </c>
      <c r="AA899" s="511">
        <f t="shared" si="242"/>
        <v>27</v>
      </c>
      <c r="AB899" s="510">
        <f t="shared" si="240"/>
        <v>272502750</v>
      </c>
      <c r="AC899" s="511">
        <f t="shared" si="248"/>
        <v>37.5</v>
      </c>
      <c r="AD899" s="504">
        <f t="shared" si="247"/>
        <v>22.322357806991782</v>
      </c>
      <c r="AE899" s="500"/>
    </row>
    <row r="900" spans="1:31" s="512" customFormat="1" ht="38.25">
      <c r="A900" s="500"/>
      <c r="B900" s="500"/>
      <c r="C900" s="501" t="s">
        <v>146</v>
      </c>
      <c r="D900" s="501" t="s">
        <v>65</v>
      </c>
      <c r="E900" s="501" t="s">
        <v>201</v>
      </c>
      <c r="F900" s="501" t="s">
        <v>448</v>
      </c>
      <c r="G900" s="501" t="s">
        <v>515</v>
      </c>
      <c r="H900" s="500"/>
      <c r="I900" s="502" t="s">
        <v>574</v>
      </c>
      <c r="J900" s="500" t="s">
        <v>575</v>
      </c>
      <c r="K900" s="503">
        <v>72</v>
      </c>
      <c r="L900" s="504">
        <v>712792120</v>
      </c>
      <c r="M900" s="503">
        <v>24</v>
      </c>
      <c r="N900" s="504">
        <v>212117990</v>
      </c>
      <c r="O900" s="503">
        <v>12</v>
      </c>
      <c r="P900" s="504">
        <v>48035150</v>
      </c>
      <c r="Q900" s="503">
        <v>25</v>
      </c>
      <c r="R900" s="504">
        <v>5802750</v>
      </c>
      <c r="S900" s="500"/>
      <c r="T900" s="510"/>
      <c r="U900" s="500"/>
      <c r="V900" s="504"/>
      <c r="W900" s="508"/>
      <c r="X900" s="504"/>
      <c r="Y900" s="503">
        <v>3</v>
      </c>
      <c r="Z900" s="504">
        <v>5802750</v>
      </c>
      <c r="AA900" s="511">
        <f t="shared" si="242"/>
        <v>27</v>
      </c>
      <c r="AB900" s="510">
        <f t="shared" si="240"/>
        <v>217920740</v>
      </c>
      <c r="AC900" s="511">
        <f t="shared" si="248"/>
        <v>37.5</v>
      </c>
      <c r="AD900" s="504">
        <f t="shared" si="247"/>
        <v>30.572832370818016</v>
      </c>
      <c r="AE900" s="500"/>
    </row>
    <row r="901" spans="1:31" s="512" customFormat="1" ht="51">
      <c r="A901" s="500"/>
      <c r="B901" s="500"/>
      <c r="C901" s="501" t="s">
        <v>146</v>
      </c>
      <c r="D901" s="501" t="s">
        <v>65</v>
      </c>
      <c r="E901" s="501" t="s">
        <v>201</v>
      </c>
      <c r="F901" s="501" t="s">
        <v>448</v>
      </c>
      <c r="G901" s="501" t="s">
        <v>363</v>
      </c>
      <c r="H901" s="500"/>
      <c r="I901" s="502" t="s">
        <v>576</v>
      </c>
      <c r="J901" s="500" t="s">
        <v>577</v>
      </c>
      <c r="K901" s="503">
        <v>5</v>
      </c>
      <c r="L901" s="504">
        <v>345000000</v>
      </c>
      <c r="M901" s="515">
        <v>1</v>
      </c>
      <c r="N901" s="504">
        <v>32690500</v>
      </c>
      <c r="O901" s="515">
        <v>1</v>
      </c>
      <c r="P901" s="504">
        <v>25815500</v>
      </c>
      <c r="Q901" s="503"/>
      <c r="R901" s="504">
        <v>10943000</v>
      </c>
      <c r="S901" s="500"/>
      <c r="T901" s="510"/>
      <c r="U901" s="500"/>
      <c r="V901" s="504"/>
      <c r="W901" s="508"/>
      <c r="X901" s="504"/>
      <c r="Y901" s="503"/>
      <c r="Z901" s="504">
        <v>10943000</v>
      </c>
      <c r="AA901" s="511">
        <f t="shared" si="242"/>
        <v>1</v>
      </c>
      <c r="AB901" s="510">
        <f t="shared" si="240"/>
        <v>43633500</v>
      </c>
      <c r="AC901" s="511">
        <f t="shared" si="248"/>
        <v>20</v>
      </c>
      <c r="AD901" s="504">
        <f t="shared" si="247"/>
        <v>12.647391304347828</v>
      </c>
      <c r="AE901" s="500"/>
    </row>
    <row r="902" spans="1:31" s="499" customFormat="1" ht="38.25">
      <c r="A902" s="516"/>
      <c r="B902" s="500"/>
      <c r="C902" s="501" t="s">
        <v>146</v>
      </c>
      <c r="D902" s="501" t="s">
        <v>65</v>
      </c>
      <c r="E902" s="501" t="s">
        <v>201</v>
      </c>
      <c r="F902" s="501" t="s">
        <v>448</v>
      </c>
      <c r="G902" s="501" t="s">
        <v>178</v>
      </c>
      <c r="H902" s="500"/>
      <c r="I902" s="502" t="s">
        <v>578</v>
      </c>
      <c r="J902" s="500" t="s">
        <v>579</v>
      </c>
      <c r="K902" s="503">
        <v>5</v>
      </c>
      <c r="L902" s="504">
        <v>225000000</v>
      </c>
      <c r="M902" s="515">
        <v>1</v>
      </c>
      <c r="N902" s="504">
        <v>29034500</v>
      </c>
      <c r="O902" s="515">
        <v>1</v>
      </c>
      <c r="P902" s="504">
        <v>16684500</v>
      </c>
      <c r="Q902" s="503"/>
      <c r="R902" s="504"/>
      <c r="S902" s="500"/>
      <c r="T902" s="510"/>
      <c r="U902" s="500"/>
      <c r="V902" s="504"/>
      <c r="W902" s="508"/>
      <c r="X902" s="504"/>
      <c r="Y902" s="503"/>
      <c r="Z902" s="504"/>
      <c r="AA902" s="511">
        <f t="shared" si="242"/>
        <v>1</v>
      </c>
      <c r="AB902" s="510">
        <f t="shared" si="240"/>
        <v>29034500</v>
      </c>
      <c r="AC902" s="511">
        <f t="shared" si="248"/>
        <v>20</v>
      </c>
      <c r="AD902" s="504">
        <f t="shared" si="247"/>
        <v>12.904222222222222</v>
      </c>
      <c r="AE902" s="516"/>
    </row>
    <row r="903" spans="1:31" s="512" customFormat="1" ht="63.75">
      <c r="A903" s="500"/>
      <c r="B903" s="500"/>
      <c r="C903" s="501" t="s">
        <v>146</v>
      </c>
      <c r="D903" s="501" t="s">
        <v>65</v>
      </c>
      <c r="E903" s="501" t="s">
        <v>201</v>
      </c>
      <c r="F903" s="501" t="s">
        <v>448</v>
      </c>
      <c r="G903" s="525">
        <v>30</v>
      </c>
      <c r="H903" s="500"/>
      <c r="I903" s="500" t="s">
        <v>580</v>
      </c>
      <c r="J903" s="500" t="s">
        <v>581</v>
      </c>
      <c r="K903" s="503">
        <v>72</v>
      </c>
      <c r="L903" s="504">
        <v>2068836040</v>
      </c>
      <c r="M903" s="503">
        <v>24</v>
      </c>
      <c r="N903" s="504">
        <v>559657990</v>
      </c>
      <c r="O903" s="503">
        <v>12</v>
      </c>
      <c r="P903" s="504">
        <v>113838980</v>
      </c>
      <c r="Q903" s="503">
        <v>25</v>
      </c>
      <c r="R903" s="504">
        <v>39571370</v>
      </c>
      <c r="S903" s="500"/>
      <c r="T903" s="510"/>
      <c r="U903" s="500"/>
      <c r="V903" s="504"/>
      <c r="W903" s="508"/>
      <c r="X903" s="504"/>
      <c r="Y903" s="503">
        <v>3</v>
      </c>
      <c r="Z903" s="504">
        <v>39571370</v>
      </c>
      <c r="AA903" s="511">
        <f t="shared" si="242"/>
        <v>27</v>
      </c>
      <c r="AB903" s="510">
        <f t="shared" si="240"/>
        <v>599229360</v>
      </c>
      <c r="AC903" s="511">
        <f t="shared" si="248"/>
        <v>37.5</v>
      </c>
      <c r="AD903" s="504">
        <f t="shared" si="247"/>
        <v>28.964565021788776</v>
      </c>
      <c r="AE903" s="500"/>
    </row>
    <row r="904" spans="1:31" s="559" customFormat="1" ht="38.25">
      <c r="A904" s="546"/>
      <c r="B904" s="547"/>
      <c r="C904" s="583">
        <v>1</v>
      </c>
      <c r="D904" s="583" t="s">
        <v>65</v>
      </c>
      <c r="E904" s="583" t="s">
        <v>201</v>
      </c>
      <c r="F904" s="583">
        <v>18</v>
      </c>
      <c r="G904" s="584"/>
      <c r="H904" s="546"/>
      <c r="I904" s="546" t="s">
        <v>582</v>
      </c>
      <c r="J904" s="546" t="s">
        <v>583</v>
      </c>
      <c r="K904" s="576">
        <f t="shared" ref="K904:P904" si="249">K905</f>
        <v>1</v>
      </c>
      <c r="L904" s="558">
        <f t="shared" si="249"/>
        <v>300000000</v>
      </c>
      <c r="M904" s="585">
        <f t="shared" si="249"/>
        <v>0</v>
      </c>
      <c r="N904" s="558">
        <f t="shared" si="249"/>
        <v>0</v>
      </c>
      <c r="O904" s="576">
        <f t="shared" si="249"/>
        <v>1</v>
      </c>
      <c r="P904" s="558">
        <f t="shared" si="249"/>
        <v>36275999</v>
      </c>
      <c r="Q904" s="576"/>
      <c r="R904" s="558"/>
      <c r="S904" s="546"/>
      <c r="T904" s="579"/>
      <c r="U904" s="546"/>
      <c r="V904" s="558"/>
      <c r="W904" s="574"/>
      <c r="X904" s="558"/>
      <c r="Y904" s="576"/>
      <c r="Z904" s="558"/>
      <c r="AA904" s="557">
        <f t="shared" si="242"/>
        <v>0</v>
      </c>
      <c r="AB904" s="579">
        <f t="shared" si="240"/>
        <v>0</v>
      </c>
      <c r="AC904" s="557">
        <f t="shared" si="248"/>
        <v>0</v>
      </c>
      <c r="AD904" s="558">
        <f t="shared" si="247"/>
        <v>0</v>
      </c>
      <c r="AE904" s="546"/>
    </row>
    <row r="905" spans="1:31" s="512" customFormat="1" ht="48.75" customHeight="1">
      <c r="A905" s="500"/>
      <c r="B905" s="500"/>
      <c r="C905" s="501">
        <v>1</v>
      </c>
      <c r="D905" s="501" t="s">
        <v>65</v>
      </c>
      <c r="E905" s="501" t="s">
        <v>201</v>
      </c>
      <c r="F905" s="501">
        <v>18</v>
      </c>
      <c r="G905" s="525">
        <v>14</v>
      </c>
      <c r="H905" s="500"/>
      <c r="I905" s="500" t="s">
        <v>584</v>
      </c>
      <c r="J905" s="500" t="s">
        <v>585</v>
      </c>
      <c r="K905" s="503">
        <v>1</v>
      </c>
      <c r="L905" s="504">
        <v>300000000</v>
      </c>
      <c r="M905" s="515">
        <v>0</v>
      </c>
      <c r="N905" s="504">
        <v>0</v>
      </c>
      <c r="O905" s="503">
        <v>1</v>
      </c>
      <c r="P905" s="504">
        <v>36275999</v>
      </c>
      <c r="Q905" s="503"/>
      <c r="R905" s="504"/>
      <c r="S905" s="500"/>
      <c r="T905" s="504"/>
      <c r="U905" s="500"/>
      <c r="V905" s="504"/>
      <c r="W905" s="508"/>
      <c r="X905" s="504"/>
      <c r="Y905" s="503"/>
      <c r="Z905" s="504"/>
      <c r="AA905" s="511">
        <f t="shared" si="242"/>
        <v>0</v>
      </c>
      <c r="AB905" s="510">
        <f t="shared" si="240"/>
        <v>0</v>
      </c>
      <c r="AC905" s="511">
        <f t="shared" si="248"/>
        <v>0</v>
      </c>
      <c r="AD905" s="504">
        <f t="shared" si="247"/>
        <v>0</v>
      </c>
      <c r="AE905" s="500"/>
    </row>
    <row r="906" spans="1:31" s="559" customFormat="1" ht="50.25" customHeight="1">
      <c r="A906" s="546"/>
      <c r="B906" s="547"/>
      <c r="C906" s="583">
        <v>1</v>
      </c>
      <c r="D906" s="583" t="s">
        <v>65</v>
      </c>
      <c r="E906" s="583" t="s">
        <v>201</v>
      </c>
      <c r="F906" s="583">
        <v>19</v>
      </c>
      <c r="G906" s="584"/>
      <c r="H906" s="546"/>
      <c r="I906" s="546" t="s">
        <v>586</v>
      </c>
      <c r="J906" s="546" t="s">
        <v>587</v>
      </c>
      <c r="K906" s="586"/>
      <c r="L906" s="558">
        <f>SUM(L907:L908)</f>
        <v>41640000000</v>
      </c>
      <c r="M906" s="558">
        <f>SUM(M907:M908)</f>
        <v>0</v>
      </c>
      <c r="N906" s="558">
        <f>SUM(N907:N908)</f>
        <v>0</v>
      </c>
      <c r="O906" s="576"/>
      <c r="P906" s="558">
        <f>SUM(P907:P908)</f>
        <v>8439990300</v>
      </c>
      <c r="Q906" s="581">
        <f>(Q907+Q908)/2</f>
        <v>15.725</v>
      </c>
      <c r="R906" s="558">
        <f>SUM(R907:R908)</f>
        <v>973286870</v>
      </c>
      <c r="S906" s="546"/>
      <c r="T906" s="579"/>
      <c r="U906" s="546"/>
      <c r="V906" s="558"/>
      <c r="W906" s="574"/>
      <c r="X906" s="558"/>
      <c r="Y906" s="581">
        <f>(Y907+Y908)/2</f>
        <v>2.5</v>
      </c>
      <c r="Z906" s="558">
        <f>SUM(Z907:Z908)</f>
        <v>973286870</v>
      </c>
      <c r="AA906" s="557">
        <f t="shared" si="242"/>
        <v>2.5</v>
      </c>
      <c r="AB906" s="579">
        <f t="shared" si="240"/>
        <v>973286870</v>
      </c>
      <c r="AC906" s="557">
        <f>(AC907+AC908)/2</f>
        <v>3.5579004329004329</v>
      </c>
      <c r="AD906" s="558">
        <f t="shared" si="247"/>
        <v>2.3373844140249762</v>
      </c>
      <c r="AE906" s="546"/>
    </row>
    <row r="907" spans="1:31" s="512" customFormat="1" ht="37.5" customHeight="1">
      <c r="A907" s="500"/>
      <c r="B907" s="500"/>
      <c r="C907" s="501">
        <v>1</v>
      </c>
      <c r="D907" s="501" t="s">
        <v>65</v>
      </c>
      <c r="E907" s="501" t="s">
        <v>201</v>
      </c>
      <c r="F907" s="501">
        <v>19</v>
      </c>
      <c r="G907" s="525" t="s">
        <v>95</v>
      </c>
      <c r="H907" s="500"/>
      <c r="I907" s="500" t="s">
        <v>588</v>
      </c>
      <c r="J907" s="500" t="s">
        <v>589</v>
      </c>
      <c r="K907" s="503">
        <v>231</v>
      </c>
      <c r="L907" s="504">
        <v>28440000000</v>
      </c>
      <c r="M907" s="515">
        <v>0</v>
      </c>
      <c r="N907" s="504">
        <v>0</v>
      </c>
      <c r="O907" s="503">
        <v>31</v>
      </c>
      <c r="P907" s="504">
        <v>4440000000</v>
      </c>
      <c r="Q907" s="503">
        <v>6.45</v>
      </c>
      <c r="R907" s="504">
        <v>27050470</v>
      </c>
      <c r="S907" s="500"/>
      <c r="T907" s="510"/>
      <c r="U907" s="500"/>
      <c r="V907" s="504"/>
      <c r="W907" s="508"/>
      <c r="X907" s="504"/>
      <c r="Y907" s="503">
        <v>2</v>
      </c>
      <c r="Z907" s="504">
        <v>27050470</v>
      </c>
      <c r="AA907" s="511">
        <f t="shared" si="242"/>
        <v>2</v>
      </c>
      <c r="AB907" s="510">
        <f t="shared" si="240"/>
        <v>27050470</v>
      </c>
      <c r="AC907" s="511">
        <f>(AA907/K907)*100</f>
        <v>0.86580086580086579</v>
      </c>
      <c r="AD907" s="504">
        <f t="shared" si="247"/>
        <v>9.5114170182841073E-2</v>
      </c>
      <c r="AE907" s="500"/>
    </row>
    <row r="908" spans="1:31" s="512" customFormat="1" ht="45.75" customHeight="1">
      <c r="A908" s="500"/>
      <c r="B908" s="500"/>
      <c r="C908" s="501">
        <v>1</v>
      </c>
      <c r="D908" s="501" t="s">
        <v>65</v>
      </c>
      <c r="E908" s="501" t="s">
        <v>201</v>
      </c>
      <c r="F908" s="501">
        <v>19</v>
      </c>
      <c r="G908" s="525" t="s">
        <v>161</v>
      </c>
      <c r="H908" s="500"/>
      <c r="I908" s="500" t="s">
        <v>590</v>
      </c>
      <c r="J908" s="500" t="s">
        <v>591</v>
      </c>
      <c r="K908" s="503">
        <v>48</v>
      </c>
      <c r="L908" s="504">
        <v>13200000000</v>
      </c>
      <c r="M908" s="515">
        <v>0</v>
      </c>
      <c r="N908" s="504">
        <v>0</v>
      </c>
      <c r="O908" s="503">
        <v>12</v>
      </c>
      <c r="P908" s="504">
        <v>3999990300</v>
      </c>
      <c r="Q908" s="520">
        <v>25</v>
      </c>
      <c r="R908" s="504">
        <v>946236400</v>
      </c>
      <c r="S908" s="500"/>
      <c r="T908" s="507"/>
      <c r="U908" s="500"/>
      <c r="V908" s="504"/>
      <c r="W908" s="508"/>
      <c r="X908" s="504"/>
      <c r="Y908" s="503">
        <v>3</v>
      </c>
      <c r="Z908" s="504">
        <v>946236400</v>
      </c>
      <c r="AA908" s="511">
        <f t="shared" si="242"/>
        <v>3</v>
      </c>
      <c r="AB908" s="510">
        <f t="shared" si="240"/>
        <v>946236400</v>
      </c>
      <c r="AC908" s="511">
        <f>(AA908/K908)*100</f>
        <v>6.25</v>
      </c>
      <c r="AD908" s="504">
        <f t="shared" si="247"/>
        <v>7.168457575757575</v>
      </c>
      <c r="AE908" s="500"/>
    </row>
    <row r="909" spans="1:31" s="559" customFormat="1" ht="76.5">
      <c r="A909" s="546"/>
      <c r="B909" s="547"/>
      <c r="C909" s="548" t="s">
        <v>146</v>
      </c>
      <c r="D909" s="548" t="s">
        <v>65</v>
      </c>
      <c r="E909" s="548" t="s">
        <v>201</v>
      </c>
      <c r="F909" s="549">
        <v>20</v>
      </c>
      <c r="G909" s="549"/>
      <c r="H909" s="550"/>
      <c r="I909" s="550" t="s">
        <v>592</v>
      </c>
      <c r="J909" s="549" t="s">
        <v>593</v>
      </c>
      <c r="K909" s="578"/>
      <c r="L909" s="558">
        <f>SUM(L910:L911)</f>
        <v>5977646190</v>
      </c>
      <c r="M909" s="587"/>
      <c r="N909" s="558">
        <f>SUM(N910:N911)</f>
        <v>733419920</v>
      </c>
      <c r="O909" s="576"/>
      <c r="P909" s="558">
        <f>SUM(P910:P911)</f>
        <v>3628876440</v>
      </c>
      <c r="Q909" s="576">
        <f>(Q910+Q911)/2</f>
        <v>12.5</v>
      </c>
      <c r="R909" s="558">
        <f>SUM(R910:R911)</f>
        <v>203415170</v>
      </c>
      <c r="S909" s="574"/>
      <c r="T909" s="558"/>
      <c r="U909" s="574"/>
      <c r="V909" s="558"/>
      <c r="W909" s="574"/>
      <c r="X909" s="558"/>
      <c r="Y909" s="576">
        <f>(Y910+Y911)/2</f>
        <v>1.5</v>
      </c>
      <c r="Z909" s="558">
        <f>SUM(Z910:Z911)</f>
        <v>203415170</v>
      </c>
      <c r="AA909" s="557">
        <f t="shared" si="242"/>
        <v>1.5</v>
      </c>
      <c r="AB909" s="579">
        <f t="shared" si="240"/>
        <v>936835090</v>
      </c>
      <c r="AC909" s="557">
        <f>(AC910+AC911)/2</f>
        <v>18.75</v>
      </c>
      <c r="AD909" s="558">
        <f t="shared" si="247"/>
        <v>15.672307463884877</v>
      </c>
      <c r="AE909" s="576" t="s">
        <v>522</v>
      </c>
    </row>
    <row r="910" spans="1:31" s="512" customFormat="1" ht="36" customHeight="1">
      <c r="A910" s="500"/>
      <c r="B910" s="500"/>
      <c r="C910" s="501" t="s">
        <v>146</v>
      </c>
      <c r="D910" s="501" t="s">
        <v>65</v>
      </c>
      <c r="E910" s="501" t="s">
        <v>201</v>
      </c>
      <c r="F910" s="500">
        <v>20</v>
      </c>
      <c r="G910" s="501" t="s">
        <v>95</v>
      </c>
      <c r="H910" s="500"/>
      <c r="I910" s="502" t="s">
        <v>594</v>
      </c>
      <c r="J910" s="500" t="s">
        <v>595</v>
      </c>
      <c r="K910" s="515">
        <v>72</v>
      </c>
      <c r="L910" s="504">
        <v>2572033840</v>
      </c>
      <c r="M910" s="519">
        <v>24</v>
      </c>
      <c r="N910" s="504">
        <v>733419920</v>
      </c>
      <c r="O910" s="503">
        <v>12</v>
      </c>
      <c r="P910" s="504">
        <v>223264090</v>
      </c>
      <c r="Q910" s="503">
        <v>25</v>
      </c>
      <c r="R910" s="504">
        <v>181189170</v>
      </c>
      <c r="S910" s="500"/>
      <c r="T910" s="510"/>
      <c r="U910" s="500"/>
      <c r="V910" s="504"/>
      <c r="W910" s="508"/>
      <c r="X910" s="504"/>
      <c r="Y910" s="503">
        <v>3</v>
      </c>
      <c r="Z910" s="504">
        <v>181189170</v>
      </c>
      <c r="AA910" s="511">
        <f t="shared" si="242"/>
        <v>27</v>
      </c>
      <c r="AB910" s="510">
        <f t="shared" si="240"/>
        <v>914609090</v>
      </c>
      <c r="AC910" s="511">
        <f t="shared" ref="AC910:AC915" si="250">(AA910/K910)*100</f>
        <v>37.5</v>
      </c>
      <c r="AD910" s="504">
        <f t="shared" si="247"/>
        <v>35.559761142178445</v>
      </c>
      <c r="AE910" s="500"/>
    </row>
    <row r="911" spans="1:31" s="512" customFormat="1" ht="36" customHeight="1">
      <c r="A911" s="500"/>
      <c r="B911" s="500"/>
      <c r="C911" s="501" t="s">
        <v>146</v>
      </c>
      <c r="D911" s="501" t="s">
        <v>65</v>
      </c>
      <c r="E911" s="501" t="s">
        <v>201</v>
      </c>
      <c r="F911" s="500">
        <v>20</v>
      </c>
      <c r="G911" s="501" t="s">
        <v>161</v>
      </c>
      <c r="H911" s="500"/>
      <c r="I911" s="502" t="s">
        <v>596</v>
      </c>
      <c r="J911" s="500" t="s">
        <v>597</v>
      </c>
      <c r="K911" s="515">
        <v>1</v>
      </c>
      <c r="L911" s="504">
        <v>3405612350</v>
      </c>
      <c r="M911" s="515">
        <v>0</v>
      </c>
      <c r="N911" s="504"/>
      <c r="O911" s="503">
        <v>1</v>
      </c>
      <c r="P911" s="504">
        <v>3405612350</v>
      </c>
      <c r="Q911" s="503"/>
      <c r="R911" s="504">
        <v>22226000</v>
      </c>
      <c r="S911" s="500"/>
      <c r="T911" s="510"/>
      <c r="U911" s="500"/>
      <c r="V911" s="504"/>
      <c r="W911" s="508"/>
      <c r="X911" s="504"/>
      <c r="Y911" s="503"/>
      <c r="Z911" s="504">
        <v>22226000</v>
      </c>
      <c r="AA911" s="511">
        <f t="shared" si="242"/>
        <v>0</v>
      </c>
      <c r="AB911" s="510">
        <f t="shared" si="240"/>
        <v>22226000</v>
      </c>
      <c r="AC911" s="511">
        <f t="shared" si="250"/>
        <v>0</v>
      </c>
      <c r="AD911" s="504">
        <f t="shared" si="247"/>
        <v>0.65262859409116247</v>
      </c>
      <c r="AE911" s="500"/>
    </row>
    <row r="912" spans="1:31" s="559" customFormat="1" ht="51">
      <c r="A912" s="546"/>
      <c r="B912" s="547"/>
      <c r="C912" s="548" t="s">
        <v>146</v>
      </c>
      <c r="D912" s="548" t="s">
        <v>65</v>
      </c>
      <c r="E912" s="548" t="s">
        <v>201</v>
      </c>
      <c r="F912" s="548" t="s">
        <v>360</v>
      </c>
      <c r="G912" s="549"/>
      <c r="H912" s="550"/>
      <c r="I912" s="550" t="s">
        <v>598</v>
      </c>
      <c r="J912" s="549" t="s">
        <v>599</v>
      </c>
      <c r="K912" s="551">
        <f t="shared" ref="K912:R912" si="251">K913</f>
        <v>72</v>
      </c>
      <c r="L912" s="588">
        <f t="shared" si="251"/>
        <v>1638034700</v>
      </c>
      <c r="M912" s="551">
        <f t="shared" si="251"/>
        <v>24</v>
      </c>
      <c r="N912" s="588">
        <f t="shared" si="251"/>
        <v>424069190</v>
      </c>
      <c r="O912" s="551">
        <f t="shared" si="251"/>
        <v>12</v>
      </c>
      <c r="P912" s="588">
        <f t="shared" si="251"/>
        <v>85737500</v>
      </c>
      <c r="Q912" s="551">
        <f t="shared" si="251"/>
        <v>25</v>
      </c>
      <c r="R912" s="588">
        <f t="shared" si="251"/>
        <v>20007010</v>
      </c>
      <c r="S912" s="551"/>
      <c r="T912" s="558"/>
      <c r="U912" s="574"/>
      <c r="V912" s="558"/>
      <c r="W912" s="574"/>
      <c r="X912" s="558"/>
      <c r="Y912" s="578">
        <f>Y913</f>
        <v>3</v>
      </c>
      <c r="Z912" s="558">
        <f>Z913</f>
        <v>20007010</v>
      </c>
      <c r="AA912" s="557">
        <f t="shared" si="242"/>
        <v>27</v>
      </c>
      <c r="AB912" s="579">
        <f t="shared" si="240"/>
        <v>444076200</v>
      </c>
      <c r="AC912" s="557">
        <f t="shared" si="250"/>
        <v>37.5</v>
      </c>
      <c r="AD912" s="558">
        <f t="shared" si="247"/>
        <v>27.110304806119185</v>
      </c>
      <c r="AE912" s="576" t="s">
        <v>522</v>
      </c>
    </row>
    <row r="913" spans="1:31" s="512" customFormat="1" ht="36.75" customHeight="1">
      <c r="A913" s="500"/>
      <c r="B913" s="500"/>
      <c r="C913" s="501" t="s">
        <v>146</v>
      </c>
      <c r="D913" s="501" t="s">
        <v>65</v>
      </c>
      <c r="E913" s="501" t="s">
        <v>201</v>
      </c>
      <c r="F913" s="501" t="s">
        <v>360</v>
      </c>
      <c r="G913" s="501" t="s">
        <v>66</v>
      </c>
      <c r="H913" s="500"/>
      <c r="I913" s="502" t="s">
        <v>600</v>
      </c>
      <c r="J913" s="500" t="s">
        <v>601</v>
      </c>
      <c r="K913" s="503">
        <v>72</v>
      </c>
      <c r="L913" s="504">
        <v>1638034700</v>
      </c>
      <c r="M913" s="503">
        <v>24</v>
      </c>
      <c r="N913" s="504">
        <v>424069190</v>
      </c>
      <c r="O913" s="503">
        <v>12</v>
      </c>
      <c r="P913" s="504">
        <v>85737500</v>
      </c>
      <c r="Q913" s="503">
        <v>25</v>
      </c>
      <c r="R913" s="504">
        <v>20007010</v>
      </c>
      <c r="S913" s="500"/>
      <c r="T913" s="510"/>
      <c r="U913" s="511"/>
      <c r="V913" s="504"/>
      <c r="W913" s="508"/>
      <c r="X913" s="504"/>
      <c r="Y913" s="503">
        <v>3</v>
      </c>
      <c r="Z913" s="504">
        <v>20007010</v>
      </c>
      <c r="AA913" s="511">
        <f t="shared" si="242"/>
        <v>27</v>
      </c>
      <c r="AB913" s="510">
        <f t="shared" si="240"/>
        <v>444076200</v>
      </c>
      <c r="AC913" s="511">
        <f t="shared" si="250"/>
        <v>37.5</v>
      </c>
      <c r="AD913" s="504">
        <f t="shared" si="247"/>
        <v>27.110304806119185</v>
      </c>
      <c r="AE913" s="500"/>
    </row>
    <row r="914" spans="1:31" s="559" customFormat="1" ht="63.75">
      <c r="A914" s="546"/>
      <c r="B914" s="547"/>
      <c r="C914" s="548" t="s">
        <v>602</v>
      </c>
      <c r="D914" s="548" t="s">
        <v>66</v>
      </c>
      <c r="E914" s="548" t="s">
        <v>196</v>
      </c>
      <c r="F914" s="548" t="s">
        <v>155</v>
      </c>
      <c r="G914" s="549"/>
      <c r="H914" s="550"/>
      <c r="I914" s="550" t="s">
        <v>603</v>
      </c>
      <c r="J914" s="589" t="s">
        <v>604</v>
      </c>
      <c r="K914" s="551">
        <f t="shared" ref="K914:R914" si="252">K915</f>
        <v>72</v>
      </c>
      <c r="L914" s="552">
        <f t="shared" si="252"/>
        <v>2100753040</v>
      </c>
      <c r="M914" s="576">
        <f t="shared" si="252"/>
        <v>24</v>
      </c>
      <c r="N914" s="558">
        <f t="shared" si="252"/>
        <v>497724839</v>
      </c>
      <c r="O914" s="576">
        <f t="shared" si="252"/>
        <v>12</v>
      </c>
      <c r="P914" s="558">
        <f t="shared" si="252"/>
        <v>227350100</v>
      </c>
      <c r="Q914" s="558">
        <f t="shared" si="252"/>
        <v>25</v>
      </c>
      <c r="R914" s="558">
        <f t="shared" si="252"/>
        <v>64694360</v>
      </c>
      <c r="S914" s="546"/>
      <c r="T914" s="579"/>
      <c r="U914" s="576"/>
      <c r="V914" s="558"/>
      <c r="W914" s="576"/>
      <c r="X914" s="558"/>
      <c r="Y914" s="578">
        <f>Y915</f>
        <v>3</v>
      </c>
      <c r="Z914" s="558">
        <f>Z915</f>
        <v>64694360</v>
      </c>
      <c r="AA914" s="557">
        <f t="shared" si="242"/>
        <v>27</v>
      </c>
      <c r="AB914" s="579">
        <f t="shared" si="240"/>
        <v>562419199</v>
      </c>
      <c r="AC914" s="557">
        <f t="shared" si="250"/>
        <v>37.5</v>
      </c>
      <c r="AD914" s="558">
        <f t="shared" si="247"/>
        <v>26.772266339312306</v>
      </c>
      <c r="AE914" s="576" t="s">
        <v>522</v>
      </c>
    </row>
    <row r="915" spans="1:31" s="512" customFormat="1" ht="38.25" customHeight="1" thickBot="1">
      <c r="A915" s="500"/>
      <c r="B915" s="500"/>
      <c r="C915" s="526" t="s">
        <v>602</v>
      </c>
      <c r="D915" s="526" t="s">
        <v>66</v>
      </c>
      <c r="E915" s="526" t="s">
        <v>196</v>
      </c>
      <c r="F915" s="526" t="s">
        <v>155</v>
      </c>
      <c r="G915" s="526" t="s">
        <v>165</v>
      </c>
      <c r="H915" s="514"/>
      <c r="I915" s="527" t="s">
        <v>605</v>
      </c>
      <c r="J915" s="518" t="s">
        <v>606</v>
      </c>
      <c r="K915" s="503">
        <v>72</v>
      </c>
      <c r="L915" s="504">
        <v>2100753040</v>
      </c>
      <c r="M915" s="503">
        <v>24</v>
      </c>
      <c r="N915" s="504">
        <v>497724839</v>
      </c>
      <c r="O915" s="503">
        <v>12</v>
      </c>
      <c r="P915" s="504">
        <v>227350100</v>
      </c>
      <c r="Q915" s="503">
        <v>25</v>
      </c>
      <c r="R915" s="504">
        <v>64694360</v>
      </c>
      <c r="S915" s="500"/>
      <c r="T915" s="510"/>
      <c r="U915" s="500"/>
      <c r="V915" s="504"/>
      <c r="W915" s="508"/>
      <c r="X915" s="504"/>
      <c r="Y915" s="503">
        <v>3</v>
      </c>
      <c r="Z915" s="504">
        <v>64694360</v>
      </c>
      <c r="AA915" s="511">
        <f t="shared" si="242"/>
        <v>27</v>
      </c>
      <c r="AB915" s="510">
        <f t="shared" si="240"/>
        <v>562419199</v>
      </c>
      <c r="AC915" s="511">
        <f t="shared" si="250"/>
        <v>37.5</v>
      </c>
      <c r="AD915" s="504">
        <f t="shared" si="247"/>
        <v>26.772266339312306</v>
      </c>
      <c r="AE915" s="500"/>
    </row>
    <row r="916" spans="1:31" s="512" customFormat="1" ht="20.100000000000001" customHeight="1" thickBot="1">
      <c r="A916" s="2501" t="s">
        <v>607</v>
      </c>
      <c r="B916" s="2501"/>
      <c r="C916" s="2501"/>
      <c r="D916" s="2501"/>
      <c r="E916" s="2501"/>
      <c r="F916" s="2501"/>
      <c r="G916" s="2501"/>
      <c r="H916" s="2501"/>
      <c r="I916" s="2501"/>
      <c r="J916" s="2501"/>
      <c r="K916" s="2501"/>
      <c r="L916" s="2501"/>
      <c r="M916" s="2501"/>
      <c r="N916" s="2501"/>
      <c r="O916" s="2501"/>
      <c r="P916" s="2501"/>
      <c r="Q916" s="528"/>
      <c r="R916" s="529"/>
      <c r="S916" s="1896"/>
      <c r="T916" s="1896"/>
      <c r="U916" s="1896"/>
      <c r="V916" s="1896"/>
      <c r="W916" s="1896"/>
      <c r="X916" s="530"/>
      <c r="Y916" s="528">
        <f>R1048</f>
        <v>0</v>
      </c>
      <c r="Z916" s="531">
        <f>Z869+Z884+Z888+Z890+Z892+Z894+Z897+Z904+Z906+Z909+Z912+Z914</f>
        <v>1589075219</v>
      </c>
      <c r="AA916" s="528">
        <f>(AA869+AA884+AA888+AA890+AA892+AA894+AA897+AA904+AA906+AA909+AA912+AA914)/12</f>
        <v>14.047619047619046</v>
      </c>
      <c r="AB916" s="531">
        <f>AB869+AB884+AB888+AB890+AB892+AB894+AB897+AB904+AB906+AB909+AB912+AB914</f>
        <v>11457827200</v>
      </c>
      <c r="AC916" s="1896"/>
      <c r="AD916" s="1896"/>
      <c r="AE916" s="1896"/>
    </row>
    <row r="917" spans="1:31" s="512" customFormat="1" ht="20.100000000000001" customHeight="1" thickBot="1">
      <c r="A917" s="2501" t="s">
        <v>608</v>
      </c>
      <c r="B917" s="2501"/>
      <c r="C917" s="2501"/>
      <c r="D917" s="2501"/>
      <c r="E917" s="2501"/>
      <c r="F917" s="2501"/>
      <c r="G917" s="2501"/>
      <c r="H917" s="2501"/>
      <c r="I917" s="2501"/>
      <c r="J917" s="2501"/>
      <c r="K917" s="2501"/>
      <c r="L917" s="2501"/>
      <c r="M917" s="2501"/>
      <c r="N917" s="2501"/>
      <c r="O917" s="2501"/>
      <c r="P917" s="2501"/>
      <c r="Q917" s="1896"/>
      <c r="R917" s="1896"/>
      <c r="S917" s="1896"/>
      <c r="T917" s="1896"/>
      <c r="U917" s="1896"/>
      <c r="V917" s="1896"/>
      <c r="W917" s="1896"/>
      <c r="X917" s="1896"/>
      <c r="Y917" s="565"/>
      <c r="Z917" s="1896"/>
      <c r="AA917" s="2502"/>
      <c r="AB917" s="2502"/>
      <c r="AC917" s="2502"/>
      <c r="AD917" s="2502"/>
      <c r="AE917" s="2502"/>
    </row>
    <row r="918" spans="1:31" ht="22.5" customHeight="1">
      <c r="A918" s="2503"/>
      <c r="B918" s="2504"/>
      <c r="C918" s="2504"/>
      <c r="D918" s="2504"/>
      <c r="E918" s="2504"/>
      <c r="F918" s="2504"/>
      <c r="G918" s="2504"/>
      <c r="H918" s="2504"/>
      <c r="I918" s="2504"/>
      <c r="J918" s="2504"/>
      <c r="K918" s="2504"/>
      <c r="L918" s="2504"/>
      <c r="M918" s="2504"/>
      <c r="N918" s="2504"/>
      <c r="O918" s="2504"/>
      <c r="P918" s="2504"/>
      <c r="Q918" s="2504"/>
      <c r="R918" s="2504"/>
      <c r="S918" s="2504"/>
      <c r="T918" s="2504"/>
      <c r="U918" s="2504"/>
      <c r="V918" s="2504"/>
      <c r="W918" s="2504"/>
      <c r="X918" s="2504"/>
      <c r="Y918" s="2504"/>
      <c r="Z918" s="2504"/>
      <c r="AA918" s="2504"/>
      <c r="AB918" s="2504"/>
      <c r="AC918" s="2504"/>
      <c r="AD918" s="2504"/>
      <c r="AE918" s="2505"/>
    </row>
    <row r="919" spans="1:31" s="69" customFormat="1" ht="27.75" customHeight="1">
      <c r="A919" s="67">
        <v>16</v>
      </c>
      <c r="B919" s="67"/>
      <c r="C919" s="67"/>
      <c r="D919" s="67"/>
      <c r="E919" s="67"/>
      <c r="F919" s="67"/>
      <c r="G919" s="67"/>
      <c r="H919" s="67"/>
      <c r="I919" s="68" t="s">
        <v>143</v>
      </c>
      <c r="J919" s="67"/>
      <c r="K919" s="67"/>
      <c r="L919" s="67"/>
      <c r="M919" s="67"/>
      <c r="N919" s="67"/>
      <c r="O919" s="67"/>
      <c r="P919" s="67"/>
      <c r="Q919" s="67"/>
      <c r="R919" s="67"/>
      <c r="S919" s="67"/>
      <c r="T919" s="67"/>
      <c r="U919" s="67"/>
      <c r="V919" s="67"/>
      <c r="W919" s="67"/>
      <c r="X919" s="67"/>
      <c r="Y919" s="366"/>
      <c r="Z919" s="67"/>
      <c r="AA919" s="67"/>
      <c r="AB919" s="67"/>
      <c r="AC919" s="67"/>
      <c r="AD919" s="67"/>
      <c r="AE919" s="67"/>
    </row>
    <row r="920" spans="1:31" s="498" customFormat="1" ht="51">
      <c r="A920" s="2498"/>
      <c r="B920" s="2383" t="s">
        <v>609</v>
      </c>
      <c r="C920" s="610">
        <v>1</v>
      </c>
      <c r="D920" s="611" t="s">
        <v>65</v>
      </c>
      <c r="E920" s="610">
        <v>10</v>
      </c>
      <c r="F920" s="611" t="s">
        <v>66</v>
      </c>
      <c r="G920" s="610">
        <v>20</v>
      </c>
      <c r="H920" s="610"/>
      <c r="I920" s="594" t="s">
        <v>610</v>
      </c>
      <c r="J920" s="1894" t="s">
        <v>611</v>
      </c>
      <c r="K920" s="612">
        <v>1</v>
      </c>
      <c r="L920" s="545"/>
      <c r="M920" s="545"/>
      <c r="N920" s="545"/>
      <c r="O920" s="613"/>
      <c r="P920" s="614"/>
      <c r="Q920" s="613"/>
      <c r="R920" s="615"/>
      <c r="S920" s="545"/>
      <c r="T920" s="545"/>
      <c r="U920" s="545"/>
      <c r="V920" s="545"/>
      <c r="W920" s="545"/>
      <c r="X920" s="545"/>
      <c r="Y920" s="545"/>
      <c r="Z920" s="545"/>
      <c r="AA920" s="545"/>
      <c r="AB920" s="545"/>
      <c r="AC920" s="545"/>
      <c r="AD920" s="545"/>
      <c r="AE920" s="610" t="s">
        <v>612</v>
      </c>
    </row>
    <row r="921" spans="1:31" s="494" customFormat="1" ht="38.25">
      <c r="A921" s="2498"/>
      <c r="B921" s="2383"/>
      <c r="C921" s="385">
        <v>1</v>
      </c>
      <c r="D921" s="595" t="s">
        <v>65</v>
      </c>
      <c r="E921" s="385">
        <v>10</v>
      </c>
      <c r="F921" s="595" t="s">
        <v>66</v>
      </c>
      <c r="G921" s="595" t="s">
        <v>66</v>
      </c>
      <c r="H921" s="595" t="s">
        <v>65</v>
      </c>
      <c r="I921" s="384" t="s">
        <v>613</v>
      </c>
      <c r="J921" s="1906" t="s">
        <v>614</v>
      </c>
      <c r="K921" s="385">
        <f>12*5</f>
        <v>60</v>
      </c>
      <c r="L921" s="596">
        <f>67920+73200+150000+187500+200000</f>
        <v>678620</v>
      </c>
      <c r="M921" s="385">
        <v>12</v>
      </c>
      <c r="N921" s="597">
        <v>39952</v>
      </c>
      <c r="O921" s="1892">
        <v>12</v>
      </c>
      <c r="P921" s="597">
        <v>73200</v>
      </c>
      <c r="Q921" s="1892">
        <v>3</v>
      </c>
      <c r="R921" s="596">
        <v>7472</v>
      </c>
      <c r="S921" s="497"/>
      <c r="T921" s="497"/>
      <c r="U921" s="497"/>
      <c r="V921" s="497"/>
      <c r="W921" s="497"/>
      <c r="X921" s="497"/>
      <c r="Y921" s="497"/>
      <c r="Z921" s="497"/>
      <c r="AA921" s="497"/>
      <c r="AB921" s="596">
        <v>73200</v>
      </c>
      <c r="AC921" s="497"/>
      <c r="AD921" s="598">
        <f>AB921/L921*100%</f>
        <v>0.10786596327841796</v>
      </c>
      <c r="AE921" s="385" t="s">
        <v>612</v>
      </c>
    </row>
    <row r="922" spans="1:31" s="494" customFormat="1" ht="38.25">
      <c r="A922" s="2498"/>
      <c r="B922" s="2383"/>
      <c r="C922" s="385">
        <v>1</v>
      </c>
      <c r="D922" s="595" t="s">
        <v>65</v>
      </c>
      <c r="E922" s="385">
        <v>10</v>
      </c>
      <c r="F922" s="595" t="s">
        <v>66</v>
      </c>
      <c r="G922" s="595" t="s">
        <v>66</v>
      </c>
      <c r="H922" s="595" t="s">
        <v>198</v>
      </c>
      <c r="I922" s="384" t="s">
        <v>615</v>
      </c>
      <c r="J922" s="1906" t="s">
        <v>616</v>
      </c>
      <c r="K922" s="385">
        <v>60</v>
      </c>
      <c r="L922" s="596">
        <f>58500+73350+58500+73125+79500</f>
        <v>342975</v>
      </c>
      <c r="M922" s="385">
        <v>12</v>
      </c>
      <c r="N922" s="597">
        <v>46350</v>
      </c>
      <c r="O922" s="1892">
        <v>12</v>
      </c>
      <c r="P922" s="597">
        <v>73350</v>
      </c>
      <c r="Q922" s="1892">
        <v>3</v>
      </c>
      <c r="R922" s="596">
        <v>7565</v>
      </c>
      <c r="S922" s="497"/>
      <c r="T922" s="497"/>
      <c r="U922" s="497"/>
      <c r="V922" s="497"/>
      <c r="W922" s="497"/>
      <c r="X922" s="497"/>
      <c r="Y922" s="497"/>
      <c r="Z922" s="497"/>
      <c r="AA922" s="497"/>
      <c r="AB922" s="596">
        <v>73350</v>
      </c>
      <c r="AC922" s="497"/>
      <c r="AD922" s="598">
        <f t="shared" ref="AD922:AD959" si="253">AB922/L922*100%</f>
        <v>0.2138639842554122</v>
      </c>
      <c r="AE922" s="385" t="s">
        <v>612</v>
      </c>
    </row>
    <row r="923" spans="1:31" s="494" customFormat="1" ht="38.25">
      <c r="A923" s="2498"/>
      <c r="B923" s="2383"/>
      <c r="C923" s="385">
        <v>1</v>
      </c>
      <c r="D923" s="595" t="s">
        <v>65</v>
      </c>
      <c r="E923" s="385">
        <v>10</v>
      </c>
      <c r="F923" s="595" t="s">
        <v>66</v>
      </c>
      <c r="G923" s="595" t="s">
        <v>66</v>
      </c>
      <c r="H923" s="595" t="s">
        <v>93</v>
      </c>
      <c r="I923" s="384" t="s">
        <v>617</v>
      </c>
      <c r="J923" s="1906" t="s">
        <v>618</v>
      </c>
      <c r="K923" s="385">
        <v>60</v>
      </c>
      <c r="L923" s="596">
        <f>31051+41603+37000+46250+50500</f>
        <v>206404</v>
      </c>
      <c r="M923" s="385">
        <v>12</v>
      </c>
      <c r="N923" s="597">
        <v>30035</v>
      </c>
      <c r="O923" s="1892">
        <v>12</v>
      </c>
      <c r="P923" s="597">
        <v>41603</v>
      </c>
      <c r="Q923" s="1892">
        <v>3</v>
      </c>
      <c r="R923" s="596">
        <v>9718</v>
      </c>
      <c r="S923" s="497"/>
      <c r="T923" s="497"/>
      <c r="U923" s="497"/>
      <c r="V923" s="497"/>
      <c r="W923" s="497"/>
      <c r="X923" s="497"/>
      <c r="Y923" s="497"/>
      <c r="Z923" s="497"/>
      <c r="AA923" s="497"/>
      <c r="AB923" s="597">
        <v>41603</v>
      </c>
      <c r="AC923" s="497"/>
      <c r="AD923" s="598">
        <f t="shared" si="253"/>
        <v>0.20156101625937481</v>
      </c>
      <c r="AE923" s="385" t="s">
        <v>612</v>
      </c>
    </row>
    <row r="924" spans="1:31" s="494" customFormat="1" ht="38.25">
      <c r="A924" s="2498"/>
      <c r="B924" s="2383"/>
      <c r="C924" s="385">
        <v>1</v>
      </c>
      <c r="D924" s="595" t="s">
        <v>65</v>
      </c>
      <c r="E924" s="385">
        <v>10</v>
      </c>
      <c r="F924" s="595" t="s">
        <v>66</v>
      </c>
      <c r="G924" s="595" t="s">
        <v>66</v>
      </c>
      <c r="H924" s="595" t="s">
        <v>201</v>
      </c>
      <c r="I924" s="384" t="s">
        <v>619</v>
      </c>
      <c r="J924" s="1906" t="s">
        <v>620</v>
      </c>
      <c r="K924" s="599">
        <v>1</v>
      </c>
      <c r="L924" s="596">
        <f>5989+42900+50000+50000+50000</f>
        <v>198889</v>
      </c>
      <c r="M924" s="599">
        <v>0.2</v>
      </c>
      <c r="N924" s="597">
        <v>5892</v>
      </c>
      <c r="O924" s="1892">
        <v>12</v>
      </c>
      <c r="P924" s="597">
        <v>42000</v>
      </c>
      <c r="Q924" s="600">
        <f>R924/P924*100%</f>
        <v>1.9047619047619049E-2</v>
      </c>
      <c r="R924" s="596">
        <v>800</v>
      </c>
      <c r="S924" s="497"/>
      <c r="T924" s="497"/>
      <c r="U924" s="497"/>
      <c r="V924" s="497"/>
      <c r="W924" s="497"/>
      <c r="X924" s="497"/>
      <c r="Y924" s="497"/>
      <c r="Z924" s="497"/>
      <c r="AA924" s="497"/>
      <c r="AB924" s="597">
        <v>42000</v>
      </c>
      <c r="AC924" s="497"/>
      <c r="AD924" s="598">
        <f t="shared" si="253"/>
        <v>0.21117306638376179</v>
      </c>
      <c r="AE924" s="385" t="s">
        <v>612</v>
      </c>
    </row>
    <row r="925" spans="1:31" s="494" customFormat="1" ht="25.5">
      <c r="A925" s="2498"/>
      <c r="B925" s="2383"/>
      <c r="C925" s="385">
        <v>1</v>
      </c>
      <c r="D925" s="595" t="s">
        <v>65</v>
      </c>
      <c r="E925" s="385">
        <v>10</v>
      </c>
      <c r="F925" s="595" t="s">
        <v>66</v>
      </c>
      <c r="G925" s="595" t="s">
        <v>66</v>
      </c>
      <c r="H925" s="595">
        <v>10</v>
      </c>
      <c r="I925" s="384" t="s">
        <v>150</v>
      </c>
      <c r="J925" s="1906" t="s">
        <v>621</v>
      </c>
      <c r="K925" s="599">
        <v>1</v>
      </c>
      <c r="L925" s="596">
        <f>37173+29963+50000+62500+68000</f>
        <v>247636</v>
      </c>
      <c r="M925" s="599">
        <v>0.2</v>
      </c>
      <c r="N925" s="597">
        <v>37172</v>
      </c>
      <c r="O925" s="601">
        <v>0.2</v>
      </c>
      <c r="P925" s="597">
        <v>29963</v>
      </c>
      <c r="Q925" s="1892">
        <v>3</v>
      </c>
      <c r="R925" s="596">
        <v>20848</v>
      </c>
      <c r="S925" s="497"/>
      <c r="T925" s="497"/>
      <c r="U925" s="497"/>
      <c r="V925" s="497"/>
      <c r="W925" s="497"/>
      <c r="X925" s="497"/>
      <c r="Y925" s="497"/>
      <c r="Z925" s="497"/>
      <c r="AA925" s="497"/>
      <c r="AB925" s="597">
        <v>29963</v>
      </c>
      <c r="AC925" s="497"/>
      <c r="AD925" s="598">
        <f t="shared" si="253"/>
        <v>0.12099613949506534</v>
      </c>
      <c r="AE925" s="385" t="s">
        <v>612</v>
      </c>
    </row>
    <row r="926" spans="1:31" s="494" customFormat="1" ht="38.25">
      <c r="A926" s="2498"/>
      <c r="B926" s="2383"/>
      <c r="C926" s="385">
        <v>1</v>
      </c>
      <c r="D926" s="595" t="s">
        <v>65</v>
      </c>
      <c r="E926" s="385">
        <v>10</v>
      </c>
      <c r="F926" s="595" t="s">
        <v>66</v>
      </c>
      <c r="G926" s="595" t="s">
        <v>66</v>
      </c>
      <c r="H926" s="595">
        <v>11</v>
      </c>
      <c r="I926" s="384" t="s">
        <v>151</v>
      </c>
      <c r="J926" s="1906" t="s">
        <v>622</v>
      </c>
      <c r="K926" s="599">
        <v>1</v>
      </c>
      <c r="L926" s="596">
        <f>37814+32617+120000+150000+180000</f>
        <v>520431</v>
      </c>
      <c r="M926" s="599">
        <v>0.2</v>
      </c>
      <c r="N926" s="597">
        <v>37814</v>
      </c>
      <c r="O926" s="601">
        <v>0.2</v>
      </c>
      <c r="P926" s="597">
        <v>32617</v>
      </c>
      <c r="Q926" s="1892">
        <v>3</v>
      </c>
      <c r="R926" s="596">
        <v>5650</v>
      </c>
      <c r="S926" s="497"/>
      <c r="T926" s="497"/>
      <c r="U926" s="497"/>
      <c r="V926" s="497"/>
      <c r="W926" s="497"/>
      <c r="X926" s="497"/>
      <c r="Y926" s="497"/>
      <c r="Z926" s="497"/>
      <c r="AA926" s="497"/>
      <c r="AB926" s="597">
        <v>32617</v>
      </c>
      <c r="AC926" s="497"/>
      <c r="AD926" s="598">
        <f t="shared" si="253"/>
        <v>6.2673053680507115E-2</v>
      </c>
      <c r="AE926" s="385" t="s">
        <v>612</v>
      </c>
    </row>
    <row r="927" spans="1:31" s="494" customFormat="1" ht="51">
      <c r="A927" s="2498"/>
      <c r="B927" s="2383"/>
      <c r="C927" s="385">
        <v>1</v>
      </c>
      <c r="D927" s="595" t="s">
        <v>65</v>
      </c>
      <c r="E927" s="385">
        <v>10</v>
      </c>
      <c r="F927" s="595" t="s">
        <v>66</v>
      </c>
      <c r="G927" s="595" t="s">
        <v>66</v>
      </c>
      <c r="H927" s="595">
        <v>12</v>
      </c>
      <c r="I927" s="384" t="s">
        <v>623</v>
      </c>
      <c r="J927" s="1906" t="s">
        <v>624</v>
      </c>
      <c r="K927" s="599">
        <v>1</v>
      </c>
      <c r="L927" s="596">
        <f>7519+15938+20000+25000+30000</f>
        <v>98457</v>
      </c>
      <c r="M927" s="599">
        <v>0.2</v>
      </c>
      <c r="N927" s="597">
        <v>7498</v>
      </c>
      <c r="O927" s="601">
        <v>0.2</v>
      </c>
      <c r="P927" s="597">
        <v>15938</v>
      </c>
      <c r="Q927" s="1892">
        <v>3</v>
      </c>
      <c r="R927" s="596">
        <v>0</v>
      </c>
      <c r="S927" s="497"/>
      <c r="T927" s="497"/>
      <c r="U927" s="497"/>
      <c r="V927" s="497"/>
      <c r="W927" s="497"/>
      <c r="X927" s="497"/>
      <c r="Y927" s="497"/>
      <c r="Z927" s="497"/>
      <c r="AA927" s="497"/>
      <c r="AB927" s="597">
        <v>15938</v>
      </c>
      <c r="AC927" s="497"/>
      <c r="AD927" s="598">
        <f t="shared" si="253"/>
        <v>0.16187777405364778</v>
      </c>
      <c r="AE927" s="385" t="s">
        <v>612</v>
      </c>
    </row>
    <row r="928" spans="1:31" s="494" customFormat="1" ht="38.25">
      <c r="A928" s="2498"/>
      <c r="B928" s="2383"/>
      <c r="C928" s="385">
        <v>1</v>
      </c>
      <c r="D928" s="595" t="s">
        <v>65</v>
      </c>
      <c r="E928" s="385">
        <v>10</v>
      </c>
      <c r="F928" s="595" t="s">
        <v>66</v>
      </c>
      <c r="G928" s="595" t="s">
        <v>66</v>
      </c>
      <c r="H928" s="595">
        <v>15</v>
      </c>
      <c r="I928" s="384" t="s">
        <v>625</v>
      </c>
      <c r="J928" s="1906" t="s">
        <v>626</v>
      </c>
      <c r="K928" s="385">
        <v>60</v>
      </c>
      <c r="L928" s="596">
        <f>19000+21400+25000+31250+36000</f>
        <v>132650</v>
      </c>
      <c r="M928" s="602" t="s">
        <v>602</v>
      </c>
      <c r="N928" s="597">
        <v>13785</v>
      </c>
      <c r="O928" s="1892">
        <v>3</v>
      </c>
      <c r="P928" s="597">
        <v>21400</v>
      </c>
      <c r="Q928" s="1892">
        <v>3</v>
      </c>
      <c r="R928" s="596">
        <v>505</v>
      </c>
      <c r="S928" s="497"/>
      <c r="T928" s="497"/>
      <c r="U928" s="497"/>
      <c r="V928" s="497"/>
      <c r="W928" s="497"/>
      <c r="X928" s="497"/>
      <c r="Y928" s="497"/>
      <c r="Z928" s="497"/>
      <c r="AA928" s="497"/>
      <c r="AB928" s="597">
        <v>21400</v>
      </c>
      <c r="AC928" s="497"/>
      <c r="AD928" s="598">
        <f t="shared" si="253"/>
        <v>0.16132679984922729</v>
      </c>
      <c r="AE928" s="385" t="s">
        <v>612</v>
      </c>
    </row>
    <row r="929" spans="1:31" s="494" customFormat="1" ht="25.5">
      <c r="A929" s="2498"/>
      <c r="B929" s="2383"/>
      <c r="C929" s="385">
        <v>1</v>
      </c>
      <c r="D929" s="595" t="s">
        <v>65</v>
      </c>
      <c r="E929" s="385">
        <v>10</v>
      </c>
      <c r="F929" s="595" t="s">
        <v>66</v>
      </c>
      <c r="G929" s="595" t="s">
        <v>66</v>
      </c>
      <c r="H929" s="595">
        <v>17</v>
      </c>
      <c r="I929" s="384" t="s">
        <v>157</v>
      </c>
      <c r="J929" s="1906" t="s">
        <v>627</v>
      </c>
      <c r="K929" s="599">
        <v>1</v>
      </c>
      <c r="L929" s="596">
        <f>22450+22500+40000+50000+55000</f>
        <v>189950</v>
      </c>
      <c r="M929" s="599">
        <v>0.2</v>
      </c>
      <c r="N929" s="597">
        <v>21630</v>
      </c>
      <c r="O929" s="601">
        <v>0.2</v>
      </c>
      <c r="P929" s="597">
        <v>22500</v>
      </c>
      <c r="Q929" s="600">
        <f>R929/P929*100%</f>
        <v>0.25226666666666664</v>
      </c>
      <c r="R929" s="596">
        <v>5676</v>
      </c>
      <c r="S929" s="497"/>
      <c r="T929" s="497"/>
      <c r="U929" s="497"/>
      <c r="V929" s="497"/>
      <c r="W929" s="497"/>
      <c r="X929" s="497"/>
      <c r="Y929" s="497"/>
      <c r="Z929" s="497"/>
      <c r="AA929" s="497"/>
      <c r="AB929" s="597">
        <v>22500</v>
      </c>
      <c r="AC929" s="497"/>
      <c r="AD929" s="598">
        <f t="shared" si="253"/>
        <v>0.11845222426954462</v>
      </c>
      <c r="AE929" s="385" t="s">
        <v>612</v>
      </c>
    </row>
    <row r="930" spans="1:31" s="494" customFormat="1" ht="38.25">
      <c r="A930" s="2498"/>
      <c r="B930" s="2383"/>
      <c r="C930" s="385">
        <v>1</v>
      </c>
      <c r="D930" s="595" t="s">
        <v>65</v>
      </c>
      <c r="E930" s="385">
        <v>10</v>
      </c>
      <c r="F930" s="595" t="s">
        <v>66</v>
      </c>
      <c r="G930" s="595" t="s">
        <v>66</v>
      </c>
      <c r="H930" s="595">
        <v>18</v>
      </c>
      <c r="I930" s="384" t="s">
        <v>628</v>
      </c>
      <c r="J930" s="1906" t="s">
        <v>629</v>
      </c>
      <c r="K930" s="599">
        <v>1</v>
      </c>
      <c r="L930" s="596">
        <f>146200+182950+150000+187500+200000</f>
        <v>866650</v>
      </c>
      <c r="M930" s="599">
        <v>0.2</v>
      </c>
      <c r="N930" s="597">
        <v>144977</v>
      </c>
      <c r="O930" s="601">
        <v>0.2</v>
      </c>
      <c r="P930" s="597">
        <v>182950</v>
      </c>
      <c r="Q930" s="600">
        <f>R930/P930*100%</f>
        <v>0.35917463787920195</v>
      </c>
      <c r="R930" s="596">
        <v>65711</v>
      </c>
      <c r="S930" s="497"/>
      <c r="T930" s="497"/>
      <c r="U930" s="497"/>
      <c r="V930" s="497"/>
      <c r="W930" s="497"/>
      <c r="X930" s="497"/>
      <c r="Y930" s="497"/>
      <c r="Z930" s="497"/>
      <c r="AA930" s="497"/>
      <c r="AB930" s="597">
        <v>182950</v>
      </c>
      <c r="AC930" s="497"/>
      <c r="AD930" s="598">
        <f t="shared" si="253"/>
        <v>0.21110021346564356</v>
      </c>
      <c r="AE930" s="385" t="s">
        <v>612</v>
      </c>
    </row>
    <row r="931" spans="1:31" s="494" customFormat="1" ht="38.25">
      <c r="A931" s="2498"/>
      <c r="B931" s="2383"/>
      <c r="C931" s="385">
        <v>1</v>
      </c>
      <c r="D931" s="595" t="s">
        <v>65</v>
      </c>
      <c r="E931" s="385">
        <v>10</v>
      </c>
      <c r="F931" s="595" t="s">
        <v>66</v>
      </c>
      <c r="G931" s="595" t="s">
        <v>66</v>
      </c>
      <c r="H931" s="595">
        <v>20</v>
      </c>
      <c r="I931" s="384" t="s">
        <v>630</v>
      </c>
      <c r="J931" s="1906" t="s">
        <v>631</v>
      </c>
      <c r="K931" s="599">
        <v>1</v>
      </c>
      <c r="L931" s="596">
        <v>60000</v>
      </c>
      <c r="M931" s="599">
        <v>0.2</v>
      </c>
      <c r="N931" s="597">
        <v>62450</v>
      </c>
      <c r="O931" s="601">
        <v>0.2</v>
      </c>
      <c r="P931" s="597">
        <v>37800</v>
      </c>
      <c r="Q931" s="600">
        <f>R931/P931*100%</f>
        <v>0.38293650793650796</v>
      </c>
      <c r="R931" s="596">
        <v>14475</v>
      </c>
      <c r="S931" s="497"/>
      <c r="T931" s="497"/>
      <c r="U931" s="497"/>
      <c r="V931" s="497"/>
      <c r="W931" s="497"/>
      <c r="X931" s="497"/>
      <c r="Y931" s="497"/>
      <c r="Z931" s="497"/>
      <c r="AA931" s="497"/>
      <c r="AB931" s="597">
        <v>37800</v>
      </c>
      <c r="AC931" s="497"/>
      <c r="AD931" s="598">
        <f t="shared" si="253"/>
        <v>0.63</v>
      </c>
      <c r="AE931" s="385" t="s">
        <v>612</v>
      </c>
    </row>
    <row r="932" spans="1:31" s="494" customFormat="1" ht="51">
      <c r="A932" s="2498"/>
      <c r="B932" s="2383"/>
      <c r="C932" s="385">
        <v>1</v>
      </c>
      <c r="D932" s="595" t="s">
        <v>65</v>
      </c>
      <c r="E932" s="385">
        <v>10</v>
      </c>
      <c r="F932" s="595" t="s">
        <v>66</v>
      </c>
      <c r="G932" s="595" t="s">
        <v>66</v>
      </c>
      <c r="H932" s="595">
        <v>22</v>
      </c>
      <c r="I932" s="384" t="s">
        <v>168</v>
      </c>
      <c r="J932" s="1906" t="s">
        <v>632</v>
      </c>
      <c r="K932" s="385">
        <v>30</v>
      </c>
      <c r="L932" s="596">
        <v>57000</v>
      </c>
      <c r="M932" s="385">
        <f>30/5</f>
        <v>6</v>
      </c>
      <c r="N932" s="597">
        <v>39082</v>
      </c>
      <c r="O932" s="1892">
        <v>6</v>
      </c>
      <c r="P932" s="597">
        <v>20995</v>
      </c>
      <c r="Q932" s="1892">
        <v>0</v>
      </c>
      <c r="R932" s="596">
        <v>1500</v>
      </c>
      <c r="S932" s="497"/>
      <c r="T932" s="497"/>
      <c r="U932" s="497"/>
      <c r="V932" s="497"/>
      <c r="W932" s="497"/>
      <c r="X932" s="497"/>
      <c r="Y932" s="497"/>
      <c r="Z932" s="497"/>
      <c r="AA932" s="497"/>
      <c r="AB932" s="597">
        <v>20995</v>
      </c>
      <c r="AC932" s="497"/>
      <c r="AD932" s="598">
        <f t="shared" si="253"/>
        <v>0.36833333333333335</v>
      </c>
      <c r="AE932" s="385" t="s">
        <v>612</v>
      </c>
    </row>
    <row r="933" spans="1:31" s="498" customFormat="1" ht="38.25">
      <c r="A933" s="2498"/>
      <c r="B933" s="2383"/>
      <c r="C933" s="616">
        <v>1</v>
      </c>
      <c r="D933" s="617" t="s">
        <v>65</v>
      </c>
      <c r="E933" s="616">
        <v>10</v>
      </c>
      <c r="F933" s="617" t="s">
        <v>66</v>
      </c>
      <c r="G933" s="617" t="s">
        <v>65</v>
      </c>
      <c r="H933" s="617"/>
      <c r="I933" s="383" t="s">
        <v>257</v>
      </c>
      <c r="J933" s="618" t="s">
        <v>633</v>
      </c>
      <c r="K933" s="616"/>
      <c r="L933" s="619">
        <f>SUM(L934:L937)</f>
        <v>640000</v>
      </c>
      <c r="M933" s="616"/>
      <c r="N933" s="620"/>
      <c r="O933" s="1855"/>
      <c r="P933" s="620">
        <f>SUM(P934:P937)</f>
        <v>455270</v>
      </c>
      <c r="Q933" s="1855">
        <v>3</v>
      </c>
      <c r="R933" s="619"/>
      <c r="S933" s="621"/>
      <c r="T933" s="621"/>
      <c r="U933" s="621"/>
      <c r="V933" s="621"/>
      <c r="W933" s="621"/>
      <c r="X933" s="621"/>
      <c r="Y933" s="621"/>
      <c r="Z933" s="621"/>
      <c r="AA933" s="621"/>
      <c r="AB933" s="620">
        <f>SUM(AB934:AB937)</f>
        <v>455270</v>
      </c>
      <c r="AC933" s="621"/>
      <c r="AD933" s="622">
        <f t="shared" si="253"/>
        <v>0.71135937500000002</v>
      </c>
      <c r="AE933" s="616" t="s">
        <v>612</v>
      </c>
    </row>
    <row r="934" spans="1:31" s="494" customFormat="1" ht="38.25">
      <c r="A934" s="2498"/>
      <c r="B934" s="2383"/>
      <c r="C934" s="385">
        <v>1</v>
      </c>
      <c r="D934" s="595" t="s">
        <v>65</v>
      </c>
      <c r="E934" s="385">
        <v>10</v>
      </c>
      <c r="F934" s="595" t="s">
        <v>66</v>
      </c>
      <c r="G934" s="595" t="s">
        <v>65</v>
      </c>
      <c r="H934" s="595">
        <v>22</v>
      </c>
      <c r="I934" s="384" t="s">
        <v>258</v>
      </c>
      <c r="J934" s="1906" t="s">
        <v>634</v>
      </c>
      <c r="K934" s="599">
        <v>1</v>
      </c>
      <c r="L934" s="596">
        <v>290000</v>
      </c>
      <c r="M934" s="599">
        <v>0.2</v>
      </c>
      <c r="N934" s="597">
        <v>62050</v>
      </c>
      <c r="O934" s="601">
        <v>0.2</v>
      </c>
      <c r="P934" s="597">
        <v>200000</v>
      </c>
      <c r="Q934" s="1892">
        <v>0</v>
      </c>
      <c r="R934" s="596">
        <v>0</v>
      </c>
      <c r="S934" s="497"/>
      <c r="T934" s="497"/>
      <c r="U934" s="497"/>
      <c r="V934" s="497"/>
      <c r="W934" s="497"/>
      <c r="X934" s="497"/>
      <c r="Y934" s="497"/>
      <c r="Z934" s="497"/>
      <c r="AA934" s="497"/>
      <c r="AB934" s="597">
        <v>200000</v>
      </c>
      <c r="AC934" s="497"/>
      <c r="AD934" s="598">
        <f t="shared" si="253"/>
        <v>0.68965517241379315</v>
      </c>
      <c r="AE934" s="385" t="s">
        <v>612</v>
      </c>
    </row>
    <row r="935" spans="1:31" s="494" customFormat="1" ht="38.25">
      <c r="A935" s="2498"/>
      <c r="B935" s="2383"/>
      <c r="C935" s="385">
        <v>1</v>
      </c>
      <c r="D935" s="595" t="s">
        <v>65</v>
      </c>
      <c r="E935" s="385">
        <v>10</v>
      </c>
      <c r="F935" s="595" t="s">
        <v>66</v>
      </c>
      <c r="G935" s="595" t="s">
        <v>65</v>
      </c>
      <c r="H935" s="595">
        <v>24</v>
      </c>
      <c r="I935" s="384" t="s">
        <v>224</v>
      </c>
      <c r="J935" s="1906" t="s">
        <v>635</v>
      </c>
      <c r="K935" s="599">
        <v>1</v>
      </c>
      <c r="L935" s="596">
        <v>80000</v>
      </c>
      <c r="M935" s="599">
        <v>0.2</v>
      </c>
      <c r="N935" s="597">
        <v>44069</v>
      </c>
      <c r="O935" s="601">
        <v>0.2</v>
      </c>
      <c r="P935" s="597">
        <v>65950</v>
      </c>
      <c r="Q935" s="600">
        <f>R935/P935*100%</f>
        <v>0.21172100075815012</v>
      </c>
      <c r="R935" s="596">
        <v>13963</v>
      </c>
      <c r="S935" s="497"/>
      <c r="T935" s="497"/>
      <c r="U935" s="497"/>
      <c r="V935" s="497"/>
      <c r="W935" s="497"/>
      <c r="X935" s="497"/>
      <c r="Y935" s="497"/>
      <c r="Z935" s="497"/>
      <c r="AA935" s="497"/>
      <c r="AB935" s="597">
        <v>65950</v>
      </c>
      <c r="AC935" s="497"/>
      <c r="AD935" s="598">
        <f t="shared" si="253"/>
        <v>0.82437499999999997</v>
      </c>
      <c r="AE935" s="385" t="s">
        <v>612</v>
      </c>
    </row>
    <row r="936" spans="1:31" s="494" customFormat="1" ht="25.5">
      <c r="A936" s="2498"/>
      <c r="B936" s="2383"/>
      <c r="C936" s="385">
        <v>1</v>
      </c>
      <c r="D936" s="595" t="s">
        <v>65</v>
      </c>
      <c r="E936" s="385">
        <v>10</v>
      </c>
      <c r="F936" s="595" t="s">
        <v>66</v>
      </c>
      <c r="G936" s="595" t="s">
        <v>65</v>
      </c>
      <c r="H936" s="595">
        <v>82</v>
      </c>
      <c r="I936" s="384" t="s">
        <v>636</v>
      </c>
      <c r="J936" s="384" t="s">
        <v>637</v>
      </c>
      <c r="K936" s="385">
        <v>15</v>
      </c>
      <c r="L936" s="596">
        <v>90000</v>
      </c>
      <c r="M936" s="385">
        <v>2</v>
      </c>
      <c r="N936" s="597">
        <v>42220</v>
      </c>
      <c r="O936" s="1892">
        <v>3</v>
      </c>
      <c r="P936" s="597">
        <v>66670</v>
      </c>
      <c r="Q936" s="1892">
        <v>0</v>
      </c>
      <c r="R936" s="596">
        <v>0</v>
      </c>
      <c r="S936" s="497"/>
      <c r="T936" s="497"/>
      <c r="U936" s="497"/>
      <c r="V936" s="497"/>
      <c r="W936" s="497"/>
      <c r="X936" s="497"/>
      <c r="Y936" s="497"/>
      <c r="Z936" s="497"/>
      <c r="AA936" s="497"/>
      <c r="AB936" s="597">
        <v>66670</v>
      </c>
      <c r="AC936" s="497"/>
      <c r="AD936" s="598">
        <f t="shared" si="253"/>
        <v>0.74077777777777776</v>
      </c>
      <c r="AE936" s="385" t="s">
        <v>612</v>
      </c>
    </row>
    <row r="937" spans="1:31" s="494" customFormat="1" ht="25.5">
      <c r="A937" s="2498"/>
      <c r="B937" s="2383"/>
      <c r="C937" s="385">
        <v>1</v>
      </c>
      <c r="D937" s="595" t="s">
        <v>65</v>
      </c>
      <c r="E937" s="385">
        <v>10</v>
      </c>
      <c r="F937" s="595" t="s">
        <v>66</v>
      </c>
      <c r="G937" s="595" t="s">
        <v>65</v>
      </c>
      <c r="H937" s="595">
        <v>84</v>
      </c>
      <c r="I937" s="384" t="s">
        <v>638</v>
      </c>
      <c r="J937" s="1906" t="s">
        <v>639</v>
      </c>
      <c r="K937" s="599">
        <v>1</v>
      </c>
      <c r="L937" s="596">
        <v>180000</v>
      </c>
      <c r="M937" s="599">
        <v>0.2</v>
      </c>
      <c r="N937" s="597">
        <v>449129</v>
      </c>
      <c r="O937" s="601">
        <v>0.2</v>
      </c>
      <c r="P937" s="597">
        <v>122650</v>
      </c>
      <c r="Q937" s="1892">
        <v>0</v>
      </c>
      <c r="R937" s="596">
        <v>0</v>
      </c>
      <c r="S937" s="497"/>
      <c r="T937" s="497"/>
      <c r="U937" s="497"/>
      <c r="V937" s="497"/>
      <c r="W937" s="497"/>
      <c r="X937" s="497"/>
      <c r="Y937" s="497"/>
      <c r="Z937" s="497"/>
      <c r="AA937" s="497"/>
      <c r="AB937" s="597">
        <v>122650</v>
      </c>
      <c r="AC937" s="497"/>
      <c r="AD937" s="598">
        <f t="shared" si="253"/>
        <v>0.68138888888888893</v>
      </c>
      <c r="AE937" s="385" t="s">
        <v>612</v>
      </c>
    </row>
    <row r="938" spans="1:31" s="498" customFormat="1" ht="38.25">
      <c r="A938" s="2498"/>
      <c r="B938" s="2383"/>
      <c r="C938" s="616">
        <v>1</v>
      </c>
      <c r="D938" s="617" t="s">
        <v>65</v>
      </c>
      <c r="E938" s="616">
        <v>10</v>
      </c>
      <c r="F938" s="617" t="s">
        <v>66</v>
      </c>
      <c r="G938" s="617" t="s">
        <v>161</v>
      </c>
      <c r="H938" s="617"/>
      <c r="I938" s="383" t="s">
        <v>640</v>
      </c>
      <c r="J938" s="618" t="s">
        <v>641</v>
      </c>
      <c r="K938" s="616"/>
      <c r="L938" s="619">
        <f>SUM(L939)</f>
        <v>55000</v>
      </c>
      <c r="M938" s="616"/>
      <c r="N938" s="620"/>
      <c r="O938" s="1855"/>
      <c r="P938" s="619">
        <f>P939</f>
        <v>31278</v>
      </c>
      <c r="Q938" s="1855"/>
      <c r="R938" s="619"/>
      <c r="S938" s="621"/>
      <c r="T938" s="621"/>
      <c r="U938" s="621"/>
      <c r="V938" s="621"/>
      <c r="W938" s="621"/>
      <c r="X938" s="621"/>
      <c r="Y938" s="621"/>
      <c r="Z938" s="621"/>
      <c r="AA938" s="621"/>
      <c r="AB938" s="619">
        <f>SUM(AB939)</f>
        <v>31278</v>
      </c>
      <c r="AC938" s="621"/>
      <c r="AD938" s="622">
        <f t="shared" si="253"/>
        <v>0.56869090909090914</v>
      </c>
      <c r="AE938" s="616" t="s">
        <v>612</v>
      </c>
    </row>
    <row r="939" spans="1:31" s="494" customFormat="1" ht="63.75">
      <c r="A939" s="2499"/>
      <c r="B939" s="2340"/>
      <c r="C939" s="385">
        <v>1</v>
      </c>
      <c r="D939" s="595" t="s">
        <v>65</v>
      </c>
      <c r="E939" s="385">
        <v>10</v>
      </c>
      <c r="F939" s="595" t="s">
        <v>66</v>
      </c>
      <c r="G939" s="595" t="s">
        <v>161</v>
      </c>
      <c r="H939" s="595">
        <v>43</v>
      </c>
      <c r="I939" s="384" t="s">
        <v>642</v>
      </c>
      <c r="J939" s="1906" t="s">
        <v>643</v>
      </c>
      <c r="K939" s="599">
        <v>1</v>
      </c>
      <c r="L939" s="596">
        <v>55000</v>
      </c>
      <c r="M939" s="599">
        <v>0.2</v>
      </c>
      <c r="N939" s="597">
        <v>10207</v>
      </c>
      <c r="O939" s="601">
        <v>0.2</v>
      </c>
      <c r="P939" s="596">
        <v>31278</v>
      </c>
      <c r="Q939" s="1892">
        <v>3</v>
      </c>
      <c r="R939" s="596">
        <v>0</v>
      </c>
      <c r="S939" s="497"/>
      <c r="T939" s="497"/>
      <c r="U939" s="497"/>
      <c r="V939" s="497"/>
      <c r="W939" s="497"/>
      <c r="X939" s="497"/>
      <c r="Y939" s="497"/>
      <c r="Z939" s="497"/>
      <c r="AA939" s="497"/>
      <c r="AB939" s="596">
        <v>31278</v>
      </c>
      <c r="AC939" s="497"/>
      <c r="AD939" s="598">
        <f t="shared" si="253"/>
        <v>0.56869090909090914</v>
      </c>
      <c r="AE939" s="385" t="s">
        <v>612</v>
      </c>
    </row>
    <row r="940" spans="1:31" s="145" customFormat="1" ht="63.75">
      <c r="A940" s="2461">
        <v>2</v>
      </c>
      <c r="B940" s="2339" t="s">
        <v>644</v>
      </c>
      <c r="C940" s="623">
        <v>1</v>
      </c>
      <c r="D940" s="623" t="s">
        <v>65</v>
      </c>
      <c r="E940" s="623">
        <v>10</v>
      </c>
      <c r="F940" s="623" t="s">
        <v>66</v>
      </c>
      <c r="G940" s="623">
        <v>18</v>
      </c>
      <c r="H940" s="495"/>
      <c r="I940" s="383" t="s">
        <v>645</v>
      </c>
      <c r="J940" s="383" t="s">
        <v>646</v>
      </c>
      <c r="K940" s="616">
        <v>20</v>
      </c>
      <c r="L940" s="619">
        <f>SUM(L941:L942)</f>
        <v>395332</v>
      </c>
      <c r="M940" s="616">
        <v>5</v>
      </c>
      <c r="N940" s="624">
        <f>SUM(N941:N942)</f>
        <v>351528</v>
      </c>
      <c r="O940" s="616">
        <v>7</v>
      </c>
      <c r="P940" s="624">
        <f>SUM(P941:P942)</f>
        <v>332332</v>
      </c>
      <c r="Q940" s="616">
        <v>0</v>
      </c>
      <c r="R940" s="620">
        <f>SUM(R941:R942)</f>
        <v>18470</v>
      </c>
      <c r="S940" s="616"/>
      <c r="T940" s="616"/>
      <c r="U940" s="616"/>
      <c r="V940" s="616"/>
      <c r="W940" s="616"/>
      <c r="X940" s="616"/>
      <c r="Y940" s="616">
        <f>Q940+S940+U940+W940</f>
        <v>0</v>
      </c>
      <c r="Z940" s="625">
        <f>SUM(Z941:Z1052)</f>
        <v>686592606.68000007</v>
      </c>
      <c r="AA940" s="616">
        <f>M940+Y940</f>
        <v>5</v>
      </c>
      <c r="AB940" s="619">
        <f>SUM(AB941:AB942)</f>
        <v>368998</v>
      </c>
      <c r="AC940" s="626">
        <f>(AA940/K940)*100</f>
        <v>25</v>
      </c>
      <c r="AD940" s="622">
        <f t="shared" si="253"/>
        <v>0.93338763368510513</v>
      </c>
      <c r="AE940" s="616" t="s">
        <v>612</v>
      </c>
    </row>
    <row r="941" spans="1:31" s="63" customFormat="1" ht="51">
      <c r="A941" s="2500"/>
      <c r="B941" s="2383"/>
      <c r="C941" s="1905">
        <v>1</v>
      </c>
      <c r="D941" s="1905" t="s">
        <v>65</v>
      </c>
      <c r="E941" s="1905">
        <v>10</v>
      </c>
      <c r="F941" s="1905" t="s">
        <v>66</v>
      </c>
      <c r="G941" s="1905">
        <v>18</v>
      </c>
      <c r="H941" s="1900" t="s">
        <v>161</v>
      </c>
      <c r="I941" s="58" t="s">
        <v>647</v>
      </c>
      <c r="J941" s="58" t="s">
        <v>648</v>
      </c>
      <c r="K941" s="603">
        <f>2028*5</f>
        <v>10140</v>
      </c>
      <c r="L941" s="60">
        <v>125014</v>
      </c>
      <c r="M941" s="604">
        <f>1920+108</f>
        <v>2028</v>
      </c>
      <c r="N941" s="604">
        <v>81208</v>
      </c>
      <c r="O941" s="59">
        <v>2028</v>
      </c>
      <c r="P941" s="61">
        <v>125014</v>
      </c>
      <c r="Q941" s="443">
        <v>0</v>
      </c>
      <c r="R941" s="60">
        <v>17470</v>
      </c>
      <c r="S941" s="59"/>
      <c r="T941" s="59"/>
      <c r="U941" s="59"/>
      <c r="V941" s="59"/>
      <c r="W941" s="59"/>
      <c r="X941" s="59"/>
      <c r="Y941" s="59">
        <f>Q941+S941+U941+W941</f>
        <v>0</v>
      </c>
      <c r="Z941" s="60">
        <f>R941+T941+V941+X941</f>
        <v>17470</v>
      </c>
      <c r="AA941" s="59">
        <f>M941+Y941</f>
        <v>2028</v>
      </c>
      <c r="AB941" s="605">
        <f>N941+Z941</f>
        <v>98678</v>
      </c>
      <c r="AC941" s="1909">
        <f>(AA941/K941)*100</f>
        <v>20</v>
      </c>
      <c r="AD941" s="598">
        <f t="shared" si="253"/>
        <v>0.78933559441342571</v>
      </c>
      <c r="AE941" s="59" t="s">
        <v>612</v>
      </c>
    </row>
    <row r="942" spans="1:31" s="63" customFormat="1" ht="51">
      <c r="A942" s="2500"/>
      <c r="B942" s="2383"/>
      <c r="C942" s="1905">
        <v>1</v>
      </c>
      <c r="D942" s="1905" t="s">
        <v>65</v>
      </c>
      <c r="E942" s="1905">
        <v>10</v>
      </c>
      <c r="F942" s="1905" t="s">
        <v>66</v>
      </c>
      <c r="G942" s="1905">
        <v>18</v>
      </c>
      <c r="H942" s="1900" t="s">
        <v>198</v>
      </c>
      <c r="I942" s="58" t="s">
        <v>649</v>
      </c>
      <c r="J942" s="58" t="s">
        <v>650</v>
      </c>
      <c r="K942" s="606">
        <f>8*5</f>
        <v>40</v>
      </c>
      <c r="L942" s="60">
        <v>270318</v>
      </c>
      <c r="M942" s="60">
        <v>8</v>
      </c>
      <c r="N942" s="60">
        <v>270320</v>
      </c>
      <c r="O942" s="59">
        <v>8</v>
      </c>
      <c r="P942" s="61">
        <v>207318</v>
      </c>
      <c r="Q942" s="443">
        <v>0</v>
      </c>
      <c r="R942" s="60">
        <v>1000</v>
      </c>
      <c r="S942" s="59"/>
      <c r="T942" s="59"/>
      <c r="U942" s="59"/>
      <c r="V942" s="59"/>
      <c r="W942" s="59"/>
      <c r="X942" s="59"/>
      <c r="Y942" s="59"/>
      <c r="Z942" s="60"/>
      <c r="AA942" s="59">
        <f>M942+Y942</f>
        <v>8</v>
      </c>
      <c r="AB942" s="605">
        <f t="shared" ref="AB942:AB959" si="254">N942+Z942</f>
        <v>270320</v>
      </c>
      <c r="AC942" s="1909">
        <f t="shared" ref="AC942:AC959" si="255">(AA942/K942)*100</f>
        <v>20</v>
      </c>
      <c r="AD942" s="598">
        <f t="shared" si="253"/>
        <v>1.0000073986933908</v>
      </c>
      <c r="AE942" s="59" t="s">
        <v>612</v>
      </c>
    </row>
    <row r="943" spans="1:31" s="63" customFormat="1" ht="51">
      <c r="A943" s="2500"/>
      <c r="B943" s="2383"/>
      <c r="C943" s="1900">
        <v>1</v>
      </c>
      <c r="D943" s="1900" t="s">
        <v>65</v>
      </c>
      <c r="E943" s="1905">
        <v>10</v>
      </c>
      <c r="F943" s="1900" t="s">
        <v>66</v>
      </c>
      <c r="G943" s="1900">
        <v>19</v>
      </c>
      <c r="H943" s="1900"/>
      <c r="I943" s="383" t="s">
        <v>651</v>
      </c>
      <c r="J943" s="58" t="s">
        <v>652</v>
      </c>
      <c r="K943" s="1887">
        <v>15</v>
      </c>
      <c r="L943" s="60">
        <f>SUM(L944:L947)</f>
        <v>644835</v>
      </c>
      <c r="M943" s="60">
        <f t="shared" ref="M943" si="256">SUM(M944:M947)</f>
        <v>273.39999999999998</v>
      </c>
      <c r="N943" s="60">
        <f>SUM(N944:N947)</f>
        <v>589915</v>
      </c>
      <c r="O943" s="59">
        <v>10</v>
      </c>
      <c r="P943" s="61">
        <f>SUM(P944:P946)</f>
        <v>449582</v>
      </c>
      <c r="Q943" s="443"/>
      <c r="R943" s="60"/>
      <c r="S943" s="59"/>
      <c r="T943" s="59"/>
      <c r="U943" s="59"/>
      <c r="V943" s="59"/>
      <c r="W943" s="59"/>
      <c r="X943" s="59"/>
      <c r="Y943" s="59"/>
      <c r="Z943" s="60"/>
      <c r="AA943" s="59">
        <f t="shared" ref="AA943:AA959" si="257">M943+Y943</f>
        <v>273.39999999999998</v>
      </c>
      <c r="AB943" s="605">
        <f>N943+Z943</f>
        <v>589915</v>
      </c>
      <c r="AC943" s="1909">
        <f t="shared" si="255"/>
        <v>1822.6666666666667</v>
      </c>
      <c r="AD943" s="598">
        <f t="shared" si="253"/>
        <v>0.91483092574069336</v>
      </c>
      <c r="AE943" s="59" t="s">
        <v>612</v>
      </c>
    </row>
    <row r="944" spans="1:31" s="63" customFormat="1" ht="38.25">
      <c r="A944" s="2500"/>
      <c r="B944" s="2383"/>
      <c r="C944" s="1900">
        <v>1</v>
      </c>
      <c r="D944" s="1900" t="s">
        <v>65</v>
      </c>
      <c r="E944" s="1905">
        <v>10</v>
      </c>
      <c r="F944" s="1900" t="s">
        <v>66</v>
      </c>
      <c r="G944" s="1900">
        <v>19</v>
      </c>
      <c r="H944" s="1900">
        <v>14</v>
      </c>
      <c r="I944" s="58" t="s">
        <v>653</v>
      </c>
      <c r="J944" s="58" t="s">
        <v>654</v>
      </c>
      <c r="K944" s="606">
        <f>15*5</f>
        <v>75</v>
      </c>
      <c r="L944" s="60">
        <v>112357</v>
      </c>
      <c r="M944" s="443">
        <v>1</v>
      </c>
      <c r="N944" s="604">
        <v>57221</v>
      </c>
      <c r="O944" s="59">
        <v>15</v>
      </c>
      <c r="P944" s="61">
        <v>112357</v>
      </c>
      <c r="Q944" s="443"/>
      <c r="R944" s="60">
        <v>1100</v>
      </c>
      <c r="S944" s="59"/>
      <c r="T944" s="59"/>
      <c r="U944" s="59"/>
      <c r="V944" s="59"/>
      <c r="W944" s="59"/>
      <c r="X944" s="59"/>
      <c r="Y944" s="59"/>
      <c r="Z944" s="60"/>
      <c r="AA944" s="59">
        <f t="shared" si="257"/>
        <v>1</v>
      </c>
      <c r="AB944" s="605">
        <f t="shared" si="254"/>
        <v>57221</v>
      </c>
      <c r="AC944" s="1909">
        <f t="shared" si="255"/>
        <v>1.3333333333333335</v>
      </c>
      <c r="AD944" s="598">
        <f t="shared" si="253"/>
        <v>0.50927846062105608</v>
      </c>
      <c r="AE944" s="59" t="s">
        <v>612</v>
      </c>
    </row>
    <row r="945" spans="1:31" s="63" customFormat="1" ht="69.75" customHeight="1">
      <c r="A945" s="2500"/>
      <c r="B945" s="2383"/>
      <c r="C945" s="1900">
        <v>1</v>
      </c>
      <c r="D945" s="1900" t="s">
        <v>65</v>
      </c>
      <c r="E945" s="1905">
        <v>10</v>
      </c>
      <c r="F945" s="1900" t="s">
        <v>66</v>
      </c>
      <c r="G945" s="1900">
        <v>19</v>
      </c>
      <c r="H945" s="1900"/>
      <c r="I945" s="58" t="s">
        <v>655</v>
      </c>
      <c r="J945" s="58" t="s">
        <v>656</v>
      </c>
      <c r="K945" s="607">
        <v>1</v>
      </c>
      <c r="L945" s="60">
        <v>63519</v>
      </c>
      <c r="M945" s="608">
        <v>0.2</v>
      </c>
      <c r="N945" s="604">
        <v>67052</v>
      </c>
      <c r="O945" s="59">
        <v>100</v>
      </c>
      <c r="P945" s="61">
        <v>63519</v>
      </c>
      <c r="Q945" s="443"/>
      <c r="R945" s="60">
        <v>1026</v>
      </c>
      <c r="S945" s="59"/>
      <c r="T945" s="59"/>
      <c r="U945" s="59"/>
      <c r="V945" s="59"/>
      <c r="W945" s="59"/>
      <c r="X945" s="59"/>
      <c r="Y945" s="59"/>
      <c r="Z945" s="60"/>
      <c r="AA945" s="59">
        <f t="shared" si="257"/>
        <v>0.2</v>
      </c>
      <c r="AB945" s="605">
        <f t="shared" si="254"/>
        <v>67052</v>
      </c>
      <c r="AC945" s="1909">
        <f t="shared" si="255"/>
        <v>20</v>
      </c>
      <c r="AD945" s="598">
        <f t="shared" si="253"/>
        <v>1.055621152725956</v>
      </c>
      <c r="AE945" s="59" t="s">
        <v>612</v>
      </c>
    </row>
    <row r="946" spans="1:31" s="63" customFormat="1" ht="54" customHeight="1">
      <c r="A946" s="2500"/>
      <c r="B946" s="2383"/>
      <c r="C946" s="1900">
        <v>1</v>
      </c>
      <c r="D946" s="1900" t="s">
        <v>65</v>
      </c>
      <c r="E946" s="1905">
        <v>10</v>
      </c>
      <c r="F946" s="1900" t="s">
        <v>66</v>
      </c>
      <c r="G946" s="1900">
        <v>19</v>
      </c>
      <c r="H946" s="1900" t="s">
        <v>357</v>
      </c>
      <c r="I946" s="58" t="s">
        <v>657</v>
      </c>
      <c r="J946" s="58" t="s">
        <v>658</v>
      </c>
      <c r="K946" s="607">
        <v>1</v>
      </c>
      <c r="L946" s="60">
        <v>273706</v>
      </c>
      <c r="M946" s="608">
        <v>0.2</v>
      </c>
      <c r="N946" s="604">
        <v>371022</v>
      </c>
      <c r="O946" s="59">
        <v>100</v>
      </c>
      <c r="P946" s="61">
        <v>273706</v>
      </c>
      <c r="Q946" s="443"/>
      <c r="R946" s="60">
        <v>7322</v>
      </c>
      <c r="S946" s="59"/>
      <c r="T946" s="59"/>
      <c r="U946" s="59"/>
      <c r="V946" s="59"/>
      <c r="W946" s="59"/>
      <c r="X946" s="59"/>
      <c r="Y946" s="59"/>
      <c r="Z946" s="60"/>
      <c r="AA946" s="59">
        <f t="shared" si="257"/>
        <v>0.2</v>
      </c>
      <c r="AB946" s="605">
        <f t="shared" si="254"/>
        <v>371022</v>
      </c>
      <c r="AC946" s="1909">
        <f t="shared" si="255"/>
        <v>20</v>
      </c>
      <c r="AD946" s="598">
        <f t="shared" si="253"/>
        <v>1.3555493851066474</v>
      </c>
      <c r="AE946" s="59" t="s">
        <v>612</v>
      </c>
    </row>
    <row r="947" spans="1:31" s="63" customFormat="1" ht="76.5">
      <c r="A947" s="2462"/>
      <c r="B947" s="2340"/>
      <c r="C947" s="1900">
        <v>1</v>
      </c>
      <c r="D947" s="1900" t="s">
        <v>65</v>
      </c>
      <c r="E947" s="1905">
        <v>10</v>
      </c>
      <c r="F947" s="1900" t="s">
        <v>66</v>
      </c>
      <c r="G947" s="1900">
        <v>19</v>
      </c>
      <c r="H947" s="1900" t="s">
        <v>357</v>
      </c>
      <c r="I947" s="58" t="s">
        <v>659</v>
      </c>
      <c r="J947" s="58" t="s">
        <v>660</v>
      </c>
      <c r="K947" s="1887">
        <f>90*3*5</f>
        <v>1350</v>
      </c>
      <c r="L947" s="60">
        <v>195253</v>
      </c>
      <c r="M947" s="443">
        <v>272</v>
      </c>
      <c r="N947" s="604">
        <v>94620</v>
      </c>
      <c r="O947" s="59">
        <v>272</v>
      </c>
      <c r="P947" s="61">
        <v>195253</v>
      </c>
      <c r="Q947" s="443"/>
      <c r="R947" s="60">
        <v>8439</v>
      </c>
      <c r="S947" s="59"/>
      <c r="T947" s="59"/>
      <c r="U947" s="59"/>
      <c r="V947" s="59"/>
      <c r="W947" s="59"/>
      <c r="X947" s="59"/>
      <c r="Y947" s="59"/>
      <c r="Z947" s="60"/>
      <c r="AA947" s="59">
        <f t="shared" si="257"/>
        <v>272</v>
      </c>
      <c r="AB947" s="605">
        <f t="shared" si="254"/>
        <v>94620</v>
      </c>
      <c r="AC947" s="1909">
        <f t="shared" si="255"/>
        <v>20.148148148148149</v>
      </c>
      <c r="AD947" s="598">
        <f t="shared" si="253"/>
        <v>0.48460202916216394</v>
      </c>
      <c r="AE947" s="59" t="s">
        <v>612</v>
      </c>
    </row>
    <row r="948" spans="1:31" s="114" customFormat="1" ht="51">
      <c r="A948" s="2461">
        <v>3</v>
      </c>
      <c r="B948" s="2339" t="s">
        <v>661</v>
      </c>
      <c r="C948" s="627">
        <v>1</v>
      </c>
      <c r="D948" s="627" t="s">
        <v>65</v>
      </c>
      <c r="E948" s="623">
        <v>10</v>
      </c>
      <c r="F948" s="627" t="s">
        <v>66</v>
      </c>
      <c r="G948" s="627">
        <v>15</v>
      </c>
      <c r="H948" s="627"/>
      <c r="I948" s="383" t="s">
        <v>662</v>
      </c>
      <c r="J948" s="383" t="s">
        <v>663</v>
      </c>
      <c r="K948" s="383">
        <v>6</v>
      </c>
      <c r="L948" s="628">
        <f>SUM(L949:L950)</f>
        <v>77096</v>
      </c>
      <c r="M948" s="383">
        <v>8</v>
      </c>
      <c r="N948" s="629">
        <f>64810+98000</f>
        <v>162810</v>
      </c>
      <c r="O948" s="383">
        <v>2</v>
      </c>
      <c r="P948" s="628">
        <f>SUM(P949:P951)</f>
        <v>131417</v>
      </c>
      <c r="Q948" s="383">
        <v>1</v>
      </c>
      <c r="R948" s="628">
        <v>25875</v>
      </c>
      <c r="S948" s="383"/>
      <c r="T948" s="383"/>
      <c r="U948" s="383"/>
      <c r="V948" s="383"/>
      <c r="W948" s="383"/>
      <c r="X948" s="383"/>
      <c r="Y948" s="628"/>
      <c r="Z948" s="628"/>
      <c r="AA948" s="630">
        <f t="shared" si="257"/>
        <v>8</v>
      </c>
      <c r="AB948" s="631">
        <f t="shared" si="254"/>
        <v>162810</v>
      </c>
      <c r="AC948" s="626">
        <f t="shared" si="255"/>
        <v>133.33333333333331</v>
      </c>
      <c r="AD948" s="622">
        <f t="shared" si="253"/>
        <v>2.1117827124623845</v>
      </c>
      <c r="AE948" s="616" t="s">
        <v>612</v>
      </c>
    </row>
    <row r="949" spans="1:31" s="475" customFormat="1" ht="63.75">
      <c r="A949" s="2500"/>
      <c r="B949" s="2383"/>
      <c r="C949" s="1900">
        <v>1</v>
      </c>
      <c r="D949" s="1900" t="s">
        <v>65</v>
      </c>
      <c r="E949" s="1905">
        <v>10</v>
      </c>
      <c r="F949" s="1900" t="s">
        <v>66</v>
      </c>
      <c r="G949" s="1900">
        <v>15</v>
      </c>
      <c r="H949" s="1900" t="s">
        <v>198</v>
      </c>
      <c r="I949" s="384" t="s">
        <v>664</v>
      </c>
      <c r="J949" s="384" t="s">
        <v>665</v>
      </c>
      <c r="K949" s="384">
        <v>6</v>
      </c>
      <c r="L949" s="590">
        <v>40418</v>
      </c>
      <c r="M949" s="384">
        <v>2</v>
      </c>
      <c r="N949" s="590">
        <v>56278</v>
      </c>
      <c r="O949" s="384">
        <v>2</v>
      </c>
      <c r="P949" s="590">
        <v>40418</v>
      </c>
      <c r="Q949" s="384"/>
      <c r="R949" s="590">
        <v>0</v>
      </c>
      <c r="S949" s="384"/>
      <c r="T949" s="384"/>
      <c r="U949" s="384"/>
      <c r="V949" s="384"/>
      <c r="W949" s="384"/>
      <c r="X949" s="384"/>
      <c r="Y949" s="590"/>
      <c r="Z949" s="590"/>
      <c r="AA949" s="59">
        <f t="shared" si="257"/>
        <v>2</v>
      </c>
      <c r="AB949" s="605">
        <f t="shared" si="254"/>
        <v>56278</v>
      </c>
      <c r="AC949" s="1909">
        <f t="shared" si="255"/>
        <v>33.333333333333329</v>
      </c>
      <c r="AD949" s="598">
        <f t="shared" si="253"/>
        <v>1.3923994259983177</v>
      </c>
      <c r="AE949" s="385" t="s">
        <v>612</v>
      </c>
    </row>
    <row r="950" spans="1:31" s="475" customFormat="1" ht="63.75">
      <c r="A950" s="2500"/>
      <c r="B950" s="2383"/>
      <c r="C950" s="1900">
        <v>1</v>
      </c>
      <c r="D950" s="1900" t="s">
        <v>65</v>
      </c>
      <c r="E950" s="1905">
        <v>10</v>
      </c>
      <c r="F950" s="1900" t="s">
        <v>66</v>
      </c>
      <c r="G950" s="1900">
        <v>15</v>
      </c>
      <c r="H950" s="1900" t="s">
        <v>93</v>
      </c>
      <c r="I950" s="384" t="s">
        <v>666</v>
      </c>
      <c r="J950" s="384" t="s">
        <v>667</v>
      </c>
      <c r="K950" s="384">
        <f>90*3*5</f>
        <v>1350</v>
      </c>
      <c r="L950" s="590">
        <v>36678</v>
      </c>
      <c r="M950" s="384">
        <f>90*3</f>
        <v>270</v>
      </c>
      <c r="N950" s="590">
        <v>0</v>
      </c>
      <c r="O950" s="384">
        <v>0</v>
      </c>
      <c r="P950" s="590">
        <v>36678</v>
      </c>
      <c r="Q950" s="384"/>
      <c r="R950" s="590">
        <v>0</v>
      </c>
      <c r="S950" s="384"/>
      <c r="T950" s="384"/>
      <c r="U950" s="384"/>
      <c r="V950" s="384"/>
      <c r="W950" s="384"/>
      <c r="X950" s="384"/>
      <c r="Y950" s="590"/>
      <c r="Z950" s="590"/>
      <c r="AA950" s="59">
        <f t="shared" si="257"/>
        <v>270</v>
      </c>
      <c r="AB950" s="605">
        <f t="shared" si="254"/>
        <v>0</v>
      </c>
      <c r="AC950" s="1909">
        <f t="shared" si="255"/>
        <v>20</v>
      </c>
      <c r="AD950" s="598">
        <f t="shared" si="253"/>
        <v>0</v>
      </c>
      <c r="AE950" s="385" t="s">
        <v>612</v>
      </c>
    </row>
    <row r="951" spans="1:31" s="114" customFormat="1" ht="38.25">
      <c r="A951" s="2500"/>
      <c r="B951" s="2383"/>
      <c r="C951" s="627">
        <v>1</v>
      </c>
      <c r="D951" s="627" t="s">
        <v>65</v>
      </c>
      <c r="E951" s="623">
        <v>10</v>
      </c>
      <c r="F951" s="627" t="s">
        <v>66</v>
      </c>
      <c r="G951" s="627">
        <v>17</v>
      </c>
      <c r="H951" s="627"/>
      <c r="I951" s="383" t="s">
        <v>668</v>
      </c>
      <c r="J951" s="383" t="s">
        <v>669</v>
      </c>
      <c r="K951" s="383">
        <v>1350</v>
      </c>
      <c r="L951" s="628">
        <f>L952</f>
        <v>54321</v>
      </c>
      <c r="M951" s="383">
        <v>0</v>
      </c>
      <c r="N951" s="628">
        <f>SUM(N952)</f>
        <v>0</v>
      </c>
      <c r="O951" s="383">
        <v>90</v>
      </c>
      <c r="P951" s="628">
        <f>P952</f>
        <v>54321</v>
      </c>
      <c r="Q951" s="383"/>
      <c r="R951" s="628"/>
      <c r="S951" s="383"/>
      <c r="T951" s="383"/>
      <c r="U951" s="383"/>
      <c r="V951" s="383"/>
      <c r="W951" s="383"/>
      <c r="X951" s="383"/>
      <c r="Y951" s="628"/>
      <c r="Z951" s="628"/>
      <c r="AA951" s="630">
        <f t="shared" si="257"/>
        <v>0</v>
      </c>
      <c r="AB951" s="631">
        <f t="shared" si="254"/>
        <v>0</v>
      </c>
      <c r="AC951" s="626">
        <f t="shared" si="255"/>
        <v>0</v>
      </c>
      <c r="AD951" s="622">
        <f t="shared" si="253"/>
        <v>0</v>
      </c>
      <c r="AE951" s="616" t="s">
        <v>612</v>
      </c>
    </row>
    <row r="952" spans="1:31" s="475" customFormat="1" ht="37.5" customHeight="1">
      <c r="A952" s="2500"/>
      <c r="B952" s="2383"/>
      <c r="C952" s="1900">
        <v>1</v>
      </c>
      <c r="D952" s="1900" t="s">
        <v>65</v>
      </c>
      <c r="E952" s="1905">
        <v>10</v>
      </c>
      <c r="F952" s="1900" t="s">
        <v>66</v>
      </c>
      <c r="G952" s="1900">
        <v>17</v>
      </c>
      <c r="H952" s="1900" t="s">
        <v>66</v>
      </c>
      <c r="I952" s="384" t="s">
        <v>670</v>
      </c>
      <c r="J952" s="384" t="s">
        <v>671</v>
      </c>
      <c r="K952" s="384">
        <f>90*3*5</f>
        <v>1350</v>
      </c>
      <c r="L952" s="590">
        <v>54321</v>
      </c>
      <c r="M952" s="384">
        <f>90*2</f>
        <v>180</v>
      </c>
      <c r="N952" s="590">
        <v>0</v>
      </c>
      <c r="O952" s="384">
        <v>90</v>
      </c>
      <c r="P952" s="590">
        <v>54321</v>
      </c>
      <c r="Q952" s="384"/>
      <c r="R952" s="590">
        <v>0</v>
      </c>
      <c r="S952" s="384"/>
      <c r="T952" s="384"/>
      <c r="U952" s="384"/>
      <c r="V952" s="384"/>
      <c r="W952" s="384"/>
      <c r="X952" s="384"/>
      <c r="Y952" s="590"/>
      <c r="Z952" s="590"/>
      <c r="AA952" s="59">
        <f t="shared" si="257"/>
        <v>180</v>
      </c>
      <c r="AB952" s="605">
        <f t="shared" si="254"/>
        <v>0</v>
      </c>
      <c r="AC952" s="1909">
        <f t="shared" si="255"/>
        <v>13.333333333333334</v>
      </c>
      <c r="AD952" s="598">
        <f t="shared" si="253"/>
        <v>0</v>
      </c>
      <c r="AE952" s="385" t="s">
        <v>612</v>
      </c>
    </row>
    <row r="953" spans="1:31" s="475" customFormat="1" ht="38.25">
      <c r="A953" s="2500"/>
      <c r="B953" s="2383"/>
      <c r="C953" s="1900">
        <v>1</v>
      </c>
      <c r="D953" s="1900" t="s">
        <v>65</v>
      </c>
      <c r="E953" s="1905">
        <v>10</v>
      </c>
      <c r="F953" s="1900" t="s">
        <v>66</v>
      </c>
      <c r="G953" s="1900">
        <v>19</v>
      </c>
      <c r="H953" s="1900"/>
      <c r="I953" s="383" t="s">
        <v>672</v>
      </c>
      <c r="J953" s="384" t="s">
        <v>673</v>
      </c>
      <c r="K953" s="384">
        <v>6</v>
      </c>
      <c r="L953" s="590">
        <f>SUM(L954:L955)</f>
        <v>820042</v>
      </c>
      <c r="M953" s="384"/>
      <c r="N953" s="590">
        <f>SUM(N954:N955)</f>
        <v>559000</v>
      </c>
      <c r="O953" s="384">
        <v>2</v>
      </c>
      <c r="P953" s="590">
        <f>SUM(P954:P955)</f>
        <v>820042</v>
      </c>
      <c r="Q953" s="384"/>
      <c r="R953" s="590"/>
      <c r="S953" s="384"/>
      <c r="T953" s="384"/>
      <c r="U953" s="384"/>
      <c r="V953" s="384"/>
      <c r="W953" s="384"/>
      <c r="X953" s="384"/>
      <c r="Y953" s="590"/>
      <c r="Z953" s="590"/>
      <c r="AA953" s="59">
        <f t="shared" si="257"/>
        <v>0</v>
      </c>
      <c r="AB953" s="605">
        <f t="shared" si="254"/>
        <v>559000</v>
      </c>
      <c r="AC953" s="1909">
        <f t="shared" si="255"/>
        <v>0</v>
      </c>
      <c r="AD953" s="598">
        <f t="shared" si="253"/>
        <v>0.68167240214525593</v>
      </c>
      <c r="AE953" s="385" t="s">
        <v>612</v>
      </c>
    </row>
    <row r="954" spans="1:31" s="475" customFormat="1" ht="89.25">
      <c r="A954" s="2500"/>
      <c r="B954" s="2383"/>
      <c r="C954" s="1900">
        <v>1</v>
      </c>
      <c r="D954" s="1900" t="s">
        <v>65</v>
      </c>
      <c r="E954" s="1905">
        <v>10</v>
      </c>
      <c r="F954" s="1900" t="s">
        <v>66</v>
      </c>
      <c r="G954" s="1900">
        <v>19</v>
      </c>
      <c r="H954" s="1900" t="s">
        <v>417</v>
      </c>
      <c r="I954" s="384" t="s">
        <v>674</v>
      </c>
      <c r="J954" s="384" t="s">
        <v>675</v>
      </c>
      <c r="K954" s="384">
        <v>5</v>
      </c>
      <c r="L954" s="590">
        <v>126694</v>
      </c>
      <c r="M954" s="384">
        <v>0</v>
      </c>
      <c r="N954" s="590">
        <v>559000</v>
      </c>
      <c r="O954" s="384">
        <v>1</v>
      </c>
      <c r="P954" s="590">
        <v>126694</v>
      </c>
      <c r="Q954" s="384"/>
      <c r="R954" s="590"/>
      <c r="S954" s="384"/>
      <c r="T954" s="384"/>
      <c r="U954" s="384"/>
      <c r="V954" s="384"/>
      <c r="W954" s="384"/>
      <c r="X954" s="384"/>
      <c r="Y954" s="590"/>
      <c r="Z954" s="590"/>
      <c r="AA954" s="59">
        <f t="shared" si="257"/>
        <v>0</v>
      </c>
      <c r="AB954" s="605">
        <f t="shared" si="254"/>
        <v>559000</v>
      </c>
      <c r="AC954" s="1909">
        <f t="shared" si="255"/>
        <v>0</v>
      </c>
      <c r="AD954" s="598">
        <f t="shared" si="253"/>
        <v>4.4122057871722422</v>
      </c>
      <c r="AE954" s="385" t="s">
        <v>612</v>
      </c>
    </row>
    <row r="955" spans="1:31" s="475" customFormat="1" ht="51">
      <c r="A955" s="2500"/>
      <c r="B955" s="2383"/>
      <c r="C955" s="1900">
        <v>1</v>
      </c>
      <c r="D955" s="1900" t="s">
        <v>65</v>
      </c>
      <c r="E955" s="1905">
        <v>10</v>
      </c>
      <c r="F955" s="1900" t="s">
        <v>66</v>
      </c>
      <c r="G955" s="1900">
        <v>19</v>
      </c>
      <c r="H955" s="1900" t="s">
        <v>167</v>
      </c>
      <c r="I955" s="384" t="s">
        <v>676</v>
      </c>
      <c r="J955" s="384" t="s">
        <v>677</v>
      </c>
      <c r="K955" s="591">
        <v>1</v>
      </c>
      <c r="L955" s="590">
        <v>693348</v>
      </c>
      <c r="M955" s="591">
        <v>0.2</v>
      </c>
      <c r="N955" s="590">
        <v>0</v>
      </c>
      <c r="O955" s="591">
        <v>0.2</v>
      </c>
      <c r="P955" s="590">
        <v>693348</v>
      </c>
      <c r="Q955" s="384"/>
      <c r="R955" s="590"/>
      <c r="S955" s="384"/>
      <c r="T955" s="384"/>
      <c r="U955" s="384"/>
      <c r="V955" s="384"/>
      <c r="W955" s="384"/>
      <c r="X955" s="384"/>
      <c r="Y955" s="590"/>
      <c r="Z955" s="590"/>
      <c r="AA955" s="59">
        <f t="shared" si="257"/>
        <v>0.2</v>
      </c>
      <c r="AB955" s="60">
        <f t="shared" si="254"/>
        <v>0</v>
      </c>
      <c r="AC955" s="1909">
        <f t="shared" si="255"/>
        <v>20</v>
      </c>
      <c r="AD955" s="598">
        <f t="shared" si="253"/>
        <v>0</v>
      </c>
      <c r="AE955" s="385" t="s">
        <v>612</v>
      </c>
    </row>
    <row r="956" spans="1:31" s="114" customFormat="1" ht="25.5">
      <c r="A956" s="2500"/>
      <c r="B956" s="2383"/>
      <c r="C956" s="627">
        <v>1</v>
      </c>
      <c r="D956" s="627" t="s">
        <v>65</v>
      </c>
      <c r="E956" s="623">
        <v>10</v>
      </c>
      <c r="F956" s="627" t="s">
        <v>66</v>
      </c>
      <c r="G956" s="627">
        <v>20</v>
      </c>
      <c r="H956" s="627"/>
      <c r="I956" s="383" t="s">
        <v>678</v>
      </c>
      <c r="J956" s="383"/>
      <c r="K956" s="383">
        <v>100</v>
      </c>
      <c r="L956" s="628">
        <f>SUM(L957:L959)</f>
        <v>2600753</v>
      </c>
      <c r="M956" s="383"/>
      <c r="N956" s="628">
        <f>SUM(N957:N959)</f>
        <v>0</v>
      </c>
      <c r="O956" s="383"/>
      <c r="P956" s="628">
        <f>SUM(P957:P959)</f>
        <v>2600753</v>
      </c>
      <c r="Q956" s="383"/>
      <c r="R956" s="628"/>
      <c r="S956" s="383"/>
      <c r="T956" s="383"/>
      <c r="U956" s="383"/>
      <c r="V956" s="383"/>
      <c r="W956" s="383"/>
      <c r="X956" s="383"/>
      <c r="Y956" s="628"/>
      <c r="Z956" s="628"/>
      <c r="AA956" s="630">
        <f t="shared" si="257"/>
        <v>0</v>
      </c>
      <c r="AB956" s="632">
        <f>SUM(AB957:AB959)</f>
        <v>0</v>
      </c>
      <c r="AC956" s="626">
        <f t="shared" si="255"/>
        <v>0</v>
      </c>
      <c r="AD956" s="622">
        <f t="shared" si="253"/>
        <v>0</v>
      </c>
      <c r="AE956" s="616" t="s">
        <v>612</v>
      </c>
    </row>
    <row r="957" spans="1:31" s="475" customFormat="1" ht="38.25">
      <c r="A957" s="2500"/>
      <c r="B957" s="2383"/>
      <c r="C957" s="1900">
        <v>1</v>
      </c>
      <c r="D957" s="1900" t="s">
        <v>65</v>
      </c>
      <c r="E957" s="1905">
        <v>10</v>
      </c>
      <c r="F957" s="1900" t="s">
        <v>66</v>
      </c>
      <c r="G957" s="1900">
        <v>20</v>
      </c>
      <c r="H957" s="1900" t="s">
        <v>65</v>
      </c>
      <c r="I957" s="384" t="s">
        <v>679</v>
      </c>
      <c r="J957" s="384" t="s">
        <v>680</v>
      </c>
      <c r="K957" s="384">
        <v>100</v>
      </c>
      <c r="L957" s="590">
        <v>340894</v>
      </c>
      <c r="M957" s="384">
        <v>0</v>
      </c>
      <c r="N957" s="590">
        <v>0</v>
      </c>
      <c r="O957" s="384">
        <v>0</v>
      </c>
      <c r="P957" s="590">
        <v>340894</v>
      </c>
      <c r="Q957" s="384">
        <v>0</v>
      </c>
      <c r="R957" s="590">
        <v>58045</v>
      </c>
      <c r="S957" s="384"/>
      <c r="T957" s="384"/>
      <c r="U957" s="384"/>
      <c r="V957" s="384"/>
      <c r="W957" s="384"/>
      <c r="X957" s="384"/>
      <c r="Y957" s="590"/>
      <c r="Z957" s="590"/>
      <c r="AA957" s="59">
        <f t="shared" si="257"/>
        <v>0</v>
      </c>
      <c r="AB957" s="60">
        <f t="shared" si="254"/>
        <v>0</v>
      </c>
      <c r="AC957" s="1909">
        <f t="shared" si="255"/>
        <v>0</v>
      </c>
      <c r="AD957" s="598">
        <f t="shared" si="253"/>
        <v>0</v>
      </c>
      <c r="AE957" s="385" t="s">
        <v>612</v>
      </c>
    </row>
    <row r="958" spans="1:31" s="475" customFormat="1" ht="38.25">
      <c r="A958" s="2500"/>
      <c r="B958" s="2383"/>
      <c r="C958" s="1900">
        <v>1</v>
      </c>
      <c r="D958" s="1900" t="s">
        <v>65</v>
      </c>
      <c r="E958" s="1905">
        <v>10</v>
      </c>
      <c r="F958" s="1900" t="s">
        <v>66</v>
      </c>
      <c r="G958" s="1900">
        <v>20</v>
      </c>
      <c r="H958" s="1900" t="s">
        <v>196</v>
      </c>
      <c r="I958" s="384" t="s">
        <v>681</v>
      </c>
      <c r="J958" s="384" t="s">
        <v>682</v>
      </c>
      <c r="K958" s="384">
        <v>46</v>
      </c>
      <c r="L958" s="590">
        <v>2126545</v>
      </c>
      <c r="M958" s="384">
        <v>0</v>
      </c>
      <c r="N958" s="590">
        <v>0</v>
      </c>
      <c r="O958" s="384">
        <v>0</v>
      </c>
      <c r="P958" s="590">
        <v>2126545</v>
      </c>
      <c r="Q958" s="384">
        <v>0</v>
      </c>
      <c r="R958" s="590">
        <v>8867</v>
      </c>
      <c r="S958" s="384"/>
      <c r="T958" s="384"/>
      <c r="U958" s="384"/>
      <c r="V958" s="384"/>
      <c r="W958" s="384"/>
      <c r="X958" s="384"/>
      <c r="Y958" s="590"/>
      <c r="Z958" s="590">
        <v>0</v>
      </c>
      <c r="AA958" s="59">
        <f t="shared" si="257"/>
        <v>0</v>
      </c>
      <c r="AB958" s="60">
        <f>N958+Z958</f>
        <v>0</v>
      </c>
      <c r="AC958" s="1909">
        <f t="shared" si="255"/>
        <v>0</v>
      </c>
      <c r="AD958" s="598">
        <f t="shared" si="253"/>
        <v>0</v>
      </c>
      <c r="AE958" s="385" t="s">
        <v>612</v>
      </c>
    </row>
    <row r="959" spans="1:31" s="475" customFormat="1" ht="38.25">
      <c r="A959" s="2462"/>
      <c r="B959" s="2340"/>
      <c r="C959" s="1900">
        <v>1</v>
      </c>
      <c r="D959" s="1900" t="s">
        <v>65</v>
      </c>
      <c r="E959" s="1905">
        <v>10</v>
      </c>
      <c r="F959" s="1900" t="s">
        <v>66</v>
      </c>
      <c r="G959" s="1900">
        <v>20</v>
      </c>
      <c r="H959" s="1900" t="s">
        <v>196</v>
      </c>
      <c r="I959" s="384" t="s">
        <v>683</v>
      </c>
      <c r="J959" s="384" t="s">
        <v>684</v>
      </c>
      <c r="K959" s="384">
        <v>100</v>
      </c>
      <c r="L959" s="590">
        <v>133314</v>
      </c>
      <c r="M959" s="384">
        <v>0</v>
      </c>
      <c r="N959" s="590">
        <v>0</v>
      </c>
      <c r="O959" s="384">
        <v>0</v>
      </c>
      <c r="P959" s="590">
        <v>133314</v>
      </c>
      <c r="Q959" s="384">
        <v>0</v>
      </c>
      <c r="R959" s="590">
        <v>0</v>
      </c>
      <c r="S959" s="384"/>
      <c r="T959" s="384"/>
      <c r="U959" s="384"/>
      <c r="V959" s="384"/>
      <c r="W959" s="384"/>
      <c r="X959" s="384"/>
      <c r="Y959" s="590"/>
      <c r="Z959" s="590"/>
      <c r="AA959" s="59">
        <f t="shared" si="257"/>
        <v>0</v>
      </c>
      <c r="AB959" s="60">
        <f t="shared" si="254"/>
        <v>0</v>
      </c>
      <c r="AC959" s="1909">
        <f t="shared" si="255"/>
        <v>0</v>
      </c>
      <c r="AD959" s="598">
        <f t="shared" si="253"/>
        <v>0</v>
      </c>
      <c r="AE959" s="385" t="s">
        <v>612</v>
      </c>
    </row>
    <row r="960" spans="1:31" s="494" customFormat="1" ht="15">
      <c r="A960" s="2473" t="s">
        <v>100</v>
      </c>
      <c r="B960" s="2473"/>
      <c r="C960" s="2473"/>
      <c r="D960" s="2473"/>
      <c r="E960" s="2473"/>
      <c r="F960" s="2473"/>
      <c r="G960" s="2473"/>
      <c r="H960" s="2473"/>
      <c r="I960" s="2473"/>
      <c r="J960" s="2473"/>
      <c r="K960" s="2473"/>
      <c r="L960" s="2473"/>
      <c r="M960" s="2473"/>
      <c r="N960" s="2473"/>
      <c r="O960" s="2473"/>
      <c r="P960" s="496">
        <f>P940+P943+P948+P953+P956+AU1051</f>
        <v>4493310</v>
      </c>
      <c r="Q960" s="2474"/>
      <c r="R960" s="2474"/>
      <c r="S960" s="2474"/>
      <c r="T960" s="2474"/>
      <c r="U960" s="2474"/>
      <c r="V960" s="2474"/>
      <c r="W960" s="2474"/>
      <c r="X960" s="2474"/>
      <c r="Y960" s="2474"/>
      <c r="Z960" s="2474"/>
      <c r="AA960" s="2474"/>
      <c r="AB960" s="496">
        <f>AB940+BG1054</f>
        <v>368998</v>
      </c>
      <c r="AC960" s="497"/>
      <c r="AD960" s="497"/>
      <c r="AE960" s="497"/>
    </row>
    <row r="961" spans="1:31" s="494" customFormat="1">
      <c r="A961" s="2473" t="s">
        <v>101</v>
      </c>
      <c r="B961" s="2473"/>
      <c r="C961" s="2473"/>
      <c r="D961" s="2473"/>
      <c r="E961" s="2473"/>
      <c r="F961" s="2473"/>
      <c r="G961" s="2473"/>
      <c r="H961" s="2473"/>
      <c r="I961" s="2473"/>
      <c r="J961" s="2473"/>
      <c r="K961" s="2473"/>
      <c r="L961" s="2473"/>
      <c r="M961" s="2473"/>
      <c r="N961" s="2473"/>
      <c r="O961" s="2473"/>
      <c r="P961" s="2473"/>
      <c r="Q961" s="2473"/>
      <c r="R961" s="2473"/>
      <c r="S961" s="2473"/>
      <c r="T961" s="2473"/>
      <c r="U961" s="2473"/>
      <c r="V961" s="2473"/>
      <c r="W961" s="2473"/>
      <c r="X961" s="2473"/>
      <c r="Y961" s="2473"/>
      <c r="Z961" s="2473"/>
      <c r="AA961" s="2473"/>
      <c r="AB961" s="2473"/>
      <c r="AC961" s="609" t="e">
        <f>AVERAGE(AD941:AD1052)</f>
        <v>#VALUE!</v>
      </c>
      <c r="AD961" s="609">
        <f>(AB960/P960)*100</f>
        <v>8.2121643064912053</v>
      </c>
      <c r="AE961" s="497"/>
    </row>
    <row r="962" spans="1:31" s="494" customFormat="1">
      <c r="A962" s="2473" t="s">
        <v>102</v>
      </c>
      <c r="B962" s="2473"/>
      <c r="C962" s="2473"/>
      <c r="D962" s="2473"/>
      <c r="E962" s="2473"/>
      <c r="F962" s="2473"/>
      <c r="G962" s="2473"/>
      <c r="H962" s="2473"/>
      <c r="I962" s="2473"/>
      <c r="J962" s="2473"/>
      <c r="K962" s="2473"/>
      <c r="L962" s="2473"/>
      <c r="M962" s="2473"/>
      <c r="N962" s="2473"/>
      <c r="O962" s="2473"/>
      <c r="P962" s="2473"/>
      <c r="Q962" s="2473"/>
      <c r="R962" s="2473"/>
      <c r="S962" s="2473"/>
      <c r="T962" s="2473"/>
      <c r="U962" s="2473"/>
      <c r="V962" s="2473"/>
      <c r="W962" s="2473"/>
      <c r="X962" s="2473"/>
      <c r="Y962" s="2473"/>
      <c r="Z962" s="2473"/>
      <c r="AA962" s="2473"/>
      <c r="AB962" s="2473"/>
      <c r="AC962" s="1891" t="e">
        <f t="shared" ref="AC962:AD962" si="258">IF(AC961&gt;=45,"ST",IF(AC961&gt;=38,"T",IF(AC961&gt;=32,"S",IF(AC961&gt;=25,"R","SR"))))</f>
        <v>#VALUE!</v>
      </c>
      <c r="AD962" s="1891" t="str">
        <f t="shared" si="258"/>
        <v>SR</v>
      </c>
      <c r="AE962" s="497"/>
    </row>
    <row r="963" spans="1:31" s="69" customFormat="1" ht="40.5" customHeight="1">
      <c r="A963" s="67">
        <v>17</v>
      </c>
      <c r="B963" s="67"/>
      <c r="C963" s="67"/>
      <c r="D963" s="67"/>
      <c r="E963" s="67"/>
      <c r="F963" s="67"/>
      <c r="G963" s="67"/>
      <c r="H963" s="67"/>
      <c r="I963" s="68" t="s">
        <v>144</v>
      </c>
      <c r="J963" s="67"/>
      <c r="K963" s="67"/>
      <c r="L963" s="67"/>
      <c r="M963" s="67"/>
      <c r="N963" s="67"/>
      <c r="O963" s="67"/>
      <c r="P963" s="67"/>
      <c r="Q963" s="67"/>
      <c r="R963" s="67"/>
      <c r="S963" s="67"/>
      <c r="T963" s="67"/>
      <c r="U963" s="67"/>
      <c r="V963" s="67"/>
      <c r="W963" s="67"/>
      <c r="X963" s="67"/>
      <c r="Y963" s="366"/>
      <c r="Z963" s="67"/>
      <c r="AA963" s="67"/>
      <c r="AB963" s="67"/>
      <c r="AC963" s="67"/>
      <c r="AD963" s="67"/>
      <c r="AE963" s="67"/>
    </row>
    <row r="964" spans="1:31" s="2109" customFormat="1" ht="51">
      <c r="A964" s="616">
        <v>11</v>
      </c>
      <c r="B964" s="628">
        <v>3387953000</v>
      </c>
      <c r="C964" s="623" t="s">
        <v>197</v>
      </c>
      <c r="D964" s="623">
        <v>1</v>
      </c>
      <c r="E964" s="623" t="s">
        <v>65</v>
      </c>
      <c r="F964" s="623">
        <v>11</v>
      </c>
      <c r="G964" s="623">
        <v>1</v>
      </c>
      <c r="H964" s="627"/>
      <c r="I964" s="383" t="s">
        <v>2153</v>
      </c>
      <c r="J964" s="384" t="s">
        <v>439</v>
      </c>
      <c r="K964" s="344">
        <v>72</v>
      </c>
      <c r="L964" s="628">
        <f>SUM(L965:L975)</f>
        <v>3387953</v>
      </c>
      <c r="M964" s="383">
        <v>24</v>
      </c>
      <c r="N964" s="2110">
        <f>SUM(N965:N975)</f>
        <v>1213259.8570000001</v>
      </c>
      <c r="O964" s="383">
        <v>12</v>
      </c>
      <c r="P964" s="628">
        <f>SUM(P965:P975)</f>
        <v>941487.8</v>
      </c>
      <c r="Q964" s="383">
        <v>3</v>
      </c>
      <c r="R964" s="628">
        <f>SUM(R965:R975)</f>
        <v>127913.34</v>
      </c>
      <c r="S964" s="383"/>
      <c r="T964" s="383"/>
      <c r="U964" s="383"/>
      <c r="V964" s="383"/>
      <c r="W964" s="383"/>
      <c r="X964" s="383"/>
      <c r="Y964" s="385">
        <f t="shared" ref="Y964:Z982" si="259">Q964+S964+U964+W964</f>
        <v>3</v>
      </c>
      <c r="Z964" s="628">
        <f t="shared" si="259"/>
        <v>127913.34</v>
      </c>
      <c r="AA964" s="384">
        <f t="shared" ref="AA964:AB983" si="260">M964+Y964</f>
        <v>27</v>
      </c>
      <c r="AB964" s="624">
        <f t="shared" si="260"/>
        <v>1341173.1970000002</v>
      </c>
      <c r="AC964" s="2111">
        <f t="shared" ref="AC964:AC982" si="261">AA964/K964*100</f>
        <v>37.5</v>
      </c>
      <c r="AD964" s="2112">
        <f t="shared" ref="AD964:AD982" si="262">AB964/L964*100%</f>
        <v>0.39586534907656634</v>
      </c>
      <c r="AE964" s="2113" t="s">
        <v>2058</v>
      </c>
    </row>
    <row r="965" spans="1:31" s="1383" customFormat="1" ht="38.25">
      <c r="A965" s="1389"/>
      <c r="B965" s="1399"/>
      <c r="C965" s="1381" t="s">
        <v>197</v>
      </c>
      <c r="D965" s="1381">
        <v>1</v>
      </c>
      <c r="E965" s="1381" t="s">
        <v>65</v>
      </c>
      <c r="F965" s="1381">
        <v>11</v>
      </c>
      <c r="G965" s="1381">
        <v>1</v>
      </c>
      <c r="H965" s="1382" t="s">
        <v>65</v>
      </c>
      <c r="I965" s="1385" t="s">
        <v>2154</v>
      </c>
      <c r="J965" s="1385" t="s">
        <v>2155</v>
      </c>
      <c r="K965" s="233">
        <f t="shared" ref="K965:K974" si="263">12*6</f>
        <v>72</v>
      </c>
      <c r="L965" s="1400">
        <v>402100</v>
      </c>
      <c r="M965" s="1385">
        <v>24</v>
      </c>
      <c r="N965" s="1386">
        <f>40030.82+65330.88</f>
        <v>105361.7</v>
      </c>
      <c r="O965" s="1396">
        <v>12</v>
      </c>
      <c r="P965" s="1387">
        <v>200640</v>
      </c>
      <c r="Q965" s="1385">
        <v>3</v>
      </c>
      <c r="R965" s="1387">
        <v>16058.67</v>
      </c>
      <c r="S965" s="1385"/>
      <c r="T965" s="1401"/>
      <c r="U965" s="1385"/>
      <c r="V965" s="1385"/>
      <c r="W965" s="1385"/>
      <c r="X965" s="1385"/>
      <c r="Y965" s="1389">
        <f t="shared" si="259"/>
        <v>3</v>
      </c>
      <c r="Z965" s="1387">
        <f t="shared" si="259"/>
        <v>16058.67</v>
      </c>
      <c r="AA965" s="1385">
        <f t="shared" si="260"/>
        <v>27</v>
      </c>
      <c r="AB965" s="1376">
        <f t="shared" si="260"/>
        <v>121420.37</v>
      </c>
      <c r="AC965" s="1377">
        <f t="shared" si="261"/>
        <v>37.5</v>
      </c>
      <c r="AD965" s="1378">
        <f t="shared" si="262"/>
        <v>0.30196560557075353</v>
      </c>
      <c r="AE965" s="1379" t="s">
        <v>2058</v>
      </c>
    </row>
    <row r="966" spans="1:31" s="1383" customFormat="1" ht="38.25">
      <c r="A966" s="1389"/>
      <c r="B966" s="1399"/>
      <c r="C966" s="1381" t="s">
        <v>197</v>
      </c>
      <c r="D966" s="1381">
        <v>1</v>
      </c>
      <c r="E966" s="1381" t="s">
        <v>65</v>
      </c>
      <c r="F966" s="1381">
        <v>11</v>
      </c>
      <c r="G966" s="1381">
        <v>2</v>
      </c>
      <c r="H966" s="1382" t="s">
        <v>198</v>
      </c>
      <c r="I966" s="1385" t="s">
        <v>2156</v>
      </c>
      <c r="J966" s="1385" t="s">
        <v>2157</v>
      </c>
      <c r="K966" s="233">
        <f t="shared" si="263"/>
        <v>72</v>
      </c>
      <c r="L966" s="1400">
        <v>630000</v>
      </c>
      <c r="M966" s="1385">
        <v>24</v>
      </c>
      <c r="N966" s="1386">
        <f>104200+88942</f>
        <v>193142</v>
      </c>
      <c r="O966" s="1396">
        <v>12</v>
      </c>
      <c r="P966" s="1387">
        <v>110400</v>
      </c>
      <c r="Q966" s="1385">
        <v>3</v>
      </c>
      <c r="R966" s="1387">
        <v>17600</v>
      </c>
      <c r="S966" s="1385"/>
      <c r="T966" s="1401"/>
      <c r="U966" s="1385"/>
      <c r="V966" s="1385"/>
      <c r="W966" s="1385"/>
      <c r="X966" s="1385"/>
      <c r="Y966" s="1389">
        <f t="shared" si="259"/>
        <v>3</v>
      </c>
      <c r="Z966" s="1387">
        <f t="shared" si="259"/>
        <v>17600</v>
      </c>
      <c r="AA966" s="1385">
        <f t="shared" si="260"/>
        <v>27</v>
      </c>
      <c r="AB966" s="1376">
        <f t="shared" si="260"/>
        <v>210742</v>
      </c>
      <c r="AC966" s="1377">
        <f t="shared" si="261"/>
        <v>37.5</v>
      </c>
      <c r="AD966" s="1378">
        <f t="shared" si="262"/>
        <v>0.33451111111111109</v>
      </c>
      <c r="AE966" s="1379" t="s">
        <v>2058</v>
      </c>
    </row>
    <row r="967" spans="1:31" s="1383" customFormat="1" ht="25.5">
      <c r="A967" s="1389"/>
      <c r="B967" s="1390"/>
      <c r="C967" s="1381" t="s">
        <v>197</v>
      </c>
      <c r="D967" s="1381">
        <v>1</v>
      </c>
      <c r="E967" s="1381" t="s">
        <v>65</v>
      </c>
      <c r="F967" s="1381">
        <v>11</v>
      </c>
      <c r="G967" s="1381">
        <v>2</v>
      </c>
      <c r="H967" s="1382" t="s">
        <v>93</v>
      </c>
      <c r="I967" s="1385" t="s">
        <v>149</v>
      </c>
      <c r="J967" s="1385" t="s">
        <v>2158</v>
      </c>
      <c r="K967" s="233">
        <f t="shared" si="263"/>
        <v>72</v>
      </c>
      <c r="L967" s="1400">
        <v>284964</v>
      </c>
      <c r="M967" s="1385">
        <v>24</v>
      </c>
      <c r="N967" s="1386">
        <f>39964+81148</f>
        <v>121112</v>
      </c>
      <c r="O967" s="1396">
        <v>12</v>
      </c>
      <c r="P967" s="1387">
        <v>241993</v>
      </c>
      <c r="Q967" s="1385">
        <v>3</v>
      </c>
      <c r="R967" s="1387">
        <v>34250.5</v>
      </c>
      <c r="S967" s="1385"/>
      <c r="T967" s="1401"/>
      <c r="U967" s="1385"/>
      <c r="V967" s="1385"/>
      <c r="W967" s="1385"/>
      <c r="X967" s="1385"/>
      <c r="Y967" s="1389">
        <f t="shared" si="259"/>
        <v>3</v>
      </c>
      <c r="Z967" s="1387">
        <f t="shared" si="259"/>
        <v>34250.5</v>
      </c>
      <c r="AA967" s="1385">
        <f t="shared" si="260"/>
        <v>27</v>
      </c>
      <c r="AB967" s="1376">
        <f t="shared" si="260"/>
        <v>155362.5</v>
      </c>
      <c r="AC967" s="1377">
        <f t="shared" si="261"/>
        <v>37.5</v>
      </c>
      <c r="AD967" s="1378">
        <f t="shared" si="262"/>
        <v>0.54520044637217335</v>
      </c>
      <c r="AE967" s="1379" t="s">
        <v>2058</v>
      </c>
    </row>
    <row r="968" spans="1:31" s="1383" customFormat="1" ht="25.5">
      <c r="A968" s="1389"/>
      <c r="B968" s="1390"/>
      <c r="C968" s="1381" t="s">
        <v>197</v>
      </c>
      <c r="D968" s="1381">
        <v>1</v>
      </c>
      <c r="E968" s="1381" t="s">
        <v>65</v>
      </c>
      <c r="F968" s="1381">
        <v>11</v>
      </c>
      <c r="G968" s="1381">
        <v>2</v>
      </c>
      <c r="H968" s="1382">
        <v>10</v>
      </c>
      <c r="I968" s="1385" t="s">
        <v>150</v>
      </c>
      <c r="J968" s="1385" t="s">
        <v>2159</v>
      </c>
      <c r="K968" s="233">
        <f t="shared" si="263"/>
        <v>72</v>
      </c>
      <c r="L968" s="1386">
        <v>207102.3</v>
      </c>
      <c r="M968" s="1385">
        <v>24</v>
      </c>
      <c r="N968" s="1386">
        <f>39998.69+35428.5</f>
        <v>75427.19</v>
      </c>
      <c r="O968" s="1396">
        <v>12</v>
      </c>
      <c r="P968" s="1387">
        <v>35614.9</v>
      </c>
      <c r="Q968" s="1385">
        <v>3</v>
      </c>
      <c r="R968" s="1387">
        <v>5955.72</v>
      </c>
      <c r="S968" s="1385"/>
      <c r="T968" s="1401"/>
      <c r="U968" s="1385"/>
      <c r="V968" s="1385"/>
      <c r="W968" s="1385"/>
      <c r="X968" s="1385"/>
      <c r="Y968" s="1389">
        <f t="shared" si="259"/>
        <v>3</v>
      </c>
      <c r="Z968" s="1387">
        <f t="shared" si="259"/>
        <v>5955.72</v>
      </c>
      <c r="AA968" s="1385">
        <f t="shared" si="260"/>
        <v>27</v>
      </c>
      <c r="AB968" s="1376">
        <f t="shared" si="260"/>
        <v>81382.91</v>
      </c>
      <c r="AC968" s="1377">
        <f t="shared" si="261"/>
        <v>37.5</v>
      </c>
      <c r="AD968" s="1378">
        <f t="shared" si="262"/>
        <v>0.39295995264176209</v>
      </c>
      <c r="AE968" s="1379" t="s">
        <v>2058</v>
      </c>
    </row>
    <row r="969" spans="1:31" s="1383" customFormat="1" ht="38.25">
      <c r="A969" s="1389"/>
      <c r="B969" s="1390"/>
      <c r="C969" s="1381" t="s">
        <v>197</v>
      </c>
      <c r="D969" s="1381">
        <v>1</v>
      </c>
      <c r="E969" s="1381" t="s">
        <v>65</v>
      </c>
      <c r="F969" s="1381">
        <v>11</v>
      </c>
      <c r="G969" s="1381">
        <v>2</v>
      </c>
      <c r="H969" s="1382">
        <v>11</v>
      </c>
      <c r="I969" s="1385" t="s">
        <v>151</v>
      </c>
      <c r="J969" s="1385" t="s">
        <v>2160</v>
      </c>
      <c r="K969" s="233">
        <f t="shared" si="263"/>
        <v>72</v>
      </c>
      <c r="L969" s="1386">
        <v>198786.7</v>
      </c>
      <c r="M969" s="1385">
        <v>24</v>
      </c>
      <c r="N969" s="1386">
        <f>26786.8+42016.6</f>
        <v>68803.399999999994</v>
      </c>
      <c r="O969" s="1396">
        <v>12</v>
      </c>
      <c r="P969" s="1387">
        <v>35324</v>
      </c>
      <c r="Q969" s="1385">
        <v>3</v>
      </c>
      <c r="R969" s="1387">
        <v>0</v>
      </c>
      <c r="S969" s="1385"/>
      <c r="T969" s="1401"/>
      <c r="U969" s="1385"/>
      <c r="V969" s="1385"/>
      <c r="W969" s="1385"/>
      <c r="X969" s="1385"/>
      <c r="Y969" s="1389">
        <f t="shared" si="259"/>
        <v>3</v>
      </c>
      <c r="Z969" s="1387">
        <f t="shared" si="259"/>
        <v>0</v>
      </c>
      <c r="AA969" s="1385">
        <f t="shared" si="260"/>
        <v>27</v>
      </c>
      <c r="AB969" s="1376">
        <f t="shared" si="260"/>
        <v>68803.399999999994</v>
      </c>
      <c r="AC969" s="1377">
        <f t="shared" si="261"/>
        <v>37.5</v>
      </c>
      <c r="AD969" s="1378">
        <f t="shared" si="262"/>
        <v>0.3461167170640691</v>
      </c>
      <c r="AE969" s="1379" t="s">
        <v>2058</v>
      </c>
    </row>
    <row r="970" spans="1:31" s="1383" customFormat="1" ht="51">
      <c r="A970" s="1389"/>
      <c r="B970" s="1390"/>
      <c r="C970" s="1381" t="s">
        <v>197</v>
      </c>
      <c r="D970" s="1381">
        <v>1</v>
      </c>
      <c r="E970" s="1381" t="s">
        <v>65</v>
      </c>
      <c r="F970" s="1381">
        <v>11</v>
      </c>
      <c r="G970" s="1381">
        <v>2</v>
      </c>
      <c r="H970" s="1382">
        <v>11</v>
      </c>
      <c r="I970" s="1385" t="s">
        <v>2161</v>
      </c>
      <c r="J970" s="1385" t="s">
        <v>2162</v>
      </c>
      <c r="K970" s="233">
        <f t="shared" si="263"/>
        <v>72</v>
      </c>
      <c r="L970" s="1386">
        <v>75000</v>
      </c>
      <c r="M970" s="1385">
        <v>24</v>
      </c>
      <c r="N970" s="1386">
        <f>37463+14693</f>
        <v>52156</v>
      </c>
      <c r="O970" s="1396">
        <v>12</v>
      </c>
      <c r="P970" s="1387">
        <v>12455</v>
      </c>
      <c r="Q970" s="1385">
        <v>3</v>
      </c>
      <c r="R970" s="1387">
        <v>0</v>
      </c>
      <c r="S970" s="1385"/>
      <c r="T970" s="1401"/>
      <c r="U970" s="1385"/>
      <c r="V970" s="1385"/>
      <c r="W970" s="1385"/>
      <c r="X970" s="1385"/>
      <c r="Y970" s="1389">
        <f t="shared" si="259"/>
        <v>3</v>
      </c>
      <c r="Z970" s="1387">
        <f t="shared" si="259"/>
        <v>0</v>
      </c>
      <c r="AA970" s="1385">
        <f t="shared" si="260"/>
        <v>27</v>
      </c>
      <c r="AB970" s="1376">
        <f t="shared" si="260"/>
        <v>52156</v>
      </c>
      <c r="AC970" s="1377">
        <f t="shared" si="261"/>
        <v>37.5</v>
      </c>
      <c r="AD970" s="1378">
        <f t="shared" si="262"/>
        <v>0.69541333333333333</v>
      </c>
      <c r="AE970" s="1379" t="s">
        <v>2058</v>
      </c>
    </row>
    <row r="971" spans="1:31" s="1383" customFormat="1" ht="63.75">
      <c r="A971" s="1389"/>
      <c r="B971" s="1390"/>
      <c r="C971" s="1381" t="s">
        <v>197</v>
      </c>
      <c r="D971" s="1381">
        <v>1</v>
      </c>
      <c r="E971" s="1381" t="s">
        <v>65</v>
      </c>
      <c r="F971" s="1381">
        <v>11</v>
      </c>
      <c r="G971" s="1381">
        <v>2</v>
      </c>
      <c r="H971" s="1382">
        <v>15</v>
      </c>
      <c r="I971" s="1385" t="s">
        <v>156</v>
      </c>
      <c r="J971" s="1385" t="s">
        <v>2163</v>
      </c>
      <c r="K971" s="233">
        <f t="shared" si="263"/>
        <v>72</v>
      </c>
      <c r="L971" s="1386">
        <v>60000</v>
      </c>
      <c r="M971" s="1385">
        <v>24</v>
      </c>
      <c r="N971" s="1386">
        <f>8000+11820</f>
        <v>19820</v>
      </c>
      <c r="O971" s="1396">
        <v>12</v>
      </c>
      <c r="P971" s="1387">
        <v>13260</v>
      </c>
      <c r="Q971" s="1385">
        <v>3</v>
      </c>
      <c r="R971" s="1387">
        <v>840</v>
      </c>
      <c r="S971" s="1385"/>
      <c r="T971" s="1401"/>
      <c r="U971" s="1385"/>
      <c r="V971" s="1385"/>
      <c r="W971" s="1385"/>
      <c r="X971" s="1385"/>
      <c r="Y971" s="1389">
        <f t="shared" si="259"/>
        <v>3</v>
      </c>
      <c r="Z971" s="1387">
        <f t="shared" si="259"/>
        <v>840</v>
      </c>
      <c r="AA971" s="1385">
        <f t="shared" si="260"/>
        <v>27</v>
      </c>
      <c r="AB971" s="1376">
        <f t="shared" si="260"/>
        <v>20660</v>
      </c>
      <c r="AC971" s="1377">
        <f t="shared" si="261"/>
        <v>37.5</v>
      </c>
      <c r="AD971" s="1378">
        <f t="shared" si="262"/>
        <v>0.34433333333333332</v>
      </c>
      <c r="AE971" s="1379" t="s">
        <v>2058</v>
      </c>
    </row>
    <row r="972" spans="1:31" s="1383" customFormat="1" ht="51">
      <c r="A972" s="1389"/>
      <c r="B972" s="1390"/>
      <c r="C972" s="1381" t="s">
        <v>197</v>
      </c>
      <c r="D972" s="1381">
        <v>1</v>
      </c>
      <c r="E972" s="1381" t="s">
        <v>65</v>
      </c>
      <c r="F972" s="1381">
        <v>11</v>
      </c>
      <c r="G972" s="1381">
        <v>2</v>
      </c>
      <c r="H972" s="1382">
        <v>17</v>
      </c>
      <c r="I972" s="1385" t="s">
        <v>157</v>
      </c>
      <c r="J972" s="1385" t="s">
        <v>2164</v>
      </c>
      <c r="K972" s="233">
        <f t="shared" si="263"/>
        <v>72</v>
      </c>
      <c r="L972" s="1386">
        <v>230000</v>
      </c>
      <c r="M972" s="1385">
        <v>24</v>
      </c>
      <c r="N972" s="1386">
        <f>43642.5+45182.5</f>
        <v>88825</v>
      </c>
      <c r="O972" s="1396">
        <v>12</v>
      </c>
      <c r="P972" s="1387">
        <v>50655</v>
      </c>
      <c r="Q972" s="1385">
        <v>3</v>
      </c>
      <c r="R972" s="1387">
        <v>4345</v>
      </c>
      <c r="S972" s="1385"/>
      <c r="T972" s="1401"/>
      <c r="U972" s="1385"/>
      <c r="V972" s="1385"/>
      <c r="W972" s="1385"/>
      <c r="X972" s="1385"/>
      <c r="Y972" s="1389">
        <f t="shared" si="259"/>
        <v>3</v>
      </c>
      <c r="Z972" s="1387">
        <f t="shared" si="259"/>
        <v>4345</v>
      </c>
      <c r="AA972" s="1385">
        <f t="shared" si="260"/>
        <v>27</v>
      </c>
      <c r="AB972" s="1376">
        <f t="shared" si="260"/>
        <v>93170</v>
      </c>
      <c r="AC972" s="1377">
        <f t="shared" si="261"/>
        <v>37.5</v>
      </c>
      <c r="AD972" s="1378">
        <f t="shared" si="262"/>
        <v>0.40508695652173915</v>
      </c>
      <c r="AE972" s="1379" t="s">
        <v>2058</v>
      </c>
    </row>
    <row r="973" spans="1:31" s="1383" customFormat="1" ht="51">
      <c r="A973" s="1389"/>
      <c r="B973" s="1390"/>
      <c r="C973" s="1381" t="s">
        <v>197</v>
      </c>
      <c r="D973" s="1381">
        <v>1</v>
      </c>
      <c r="E973" s="1381" t="s">
        <v>65</v>
      </c>
      <c r="F973" s="1381">
        <v>11</v>
      </c>
      <c r="G973" s="1381">
        <v>2</v>
      </c>
      <c r="H973" s="1382">
        <v>18</v>
      </c>
      <c r="I973" s="1385" t="s">
        <v>628</v>
      </c>
      <c r="J973" s="1385" t="s">
        <v>2165</v>
      </c>
      <c r="K973" s="233">
        <f t="shared" si="263"/>
        <v>72</v>
      </c>
      <c r="L973" s="1386">
        <v>750000</v>
      </c>
      <c r="M973" s="1385">
        <v>24</v>
      </c>
      <c r="N973" s="1386">
        <f>142347.038+144200.529</f>
        <v>286547.56700000004</v>
      </c>
      <c r="O973" s="1396">
        <v>12</v>
      </c>
      <c r="P973" s="1387">
        <v>130300</v>
      </c>
      <c r="Q973" s="1385">
        <v>3</v>
      </c>
      <c r="R973" s="1387">
        <v>31448.45</v>
      </c>
      <c r="S973" s="1385"/>
      <c r="T973" s="1401"/>
      <c r="U973" s="1385"/>
      <c r="V973" s="1385"/>
      <c r="W973" s="1385"/>
      <c r="X973" s="1385"/>
      <c r="Y973" s="1389">
        <f t="shared" si="259"/>
        <v>3</v>
      </c>
      <c r="Z973" s="1387">
        <f t="shared" si="259"/>
        <v>31448.45</v>
      </c>
      <c r="AA973" s="1385">
        <f t="shared" si="260"/>
        <v>27</v>
      </c>
      <c r="AB973" s="1376">
        <f t="shared" si="260"/>
        <v>317996.01700000005</v>
      </c>
      <c r="AC973" s="1377">
        <f t="shared" si="261"/>
        <v>37.5</v>
      </c>
      <c r="AD973" s="1378">
        <f t="shared" si="262"/>
        <v>0.4239946893333334</v>
      </c>
      <c r="AE973" s="1379" t="s">
        <v>2058</v>
      </c>
    </row>
    <row r="974" spans="1:31" s="1383" customFormat="1" ht="51">
      <c r="A974" s="1389"/>
      <c r="B974" s="1390"/>
      <c r="C974" s="1381" t="s">
        <v>197</v>
      </c>
      <c r="D974" s="1381">
        <v>1</v>
      </c>
      <c r="E974" s="1381" t="s">
        <v>65</v>
      </c>
      <c r="F974" s="1381">
        <v>11</v>
      </c>
      <c r="G974" s="1381">
        <v>2</v>
      </c>
      <c r="H974" s="1382">
        <v>20</v>
      </c>
      <c r="I974" s="1385" t="s">
        <v>630</v>
      </c>
      <c r="J974" s="1385" t="s">
        <v>2166</v>
      </c>
      <c r="K974" s="233">
        <f t="shared" si="263"/>
        <v>72</v>
      </c>
      <c r="L974" s="1386">
        <v>400000</v>
      </c>
      <c r="M974" s="1385">
        <v>24</v>
      </c>
      <c r="N974" s="1386">
        <f>131050+71015</f>
        <v>202065</v>
      </c>
      <c r="O974" s="1396">
        <v>12</v>
      </c>
      <c r="P974" s="1387">
        <v>70350</v>
      </c>
      <c r="Q974" s="1385">
        <v>3</v>
      </c>
      <c r="R974" s="1387">
        <v>17415</v>
      </c>
      <c r="S974" s="1385"/>
      <c r="T974" s="1401"/>
      <c r="U974" s="1385"/>
      <c r="V974" s="1385"/>
      <c r="W974" s="1385"/>
      <c r="X974" s="1385"/>
      <c r="Y974" s="1389">
        <f t="shared" si="259"/>
        <v>3</v>
      </c>
      <c r="Z974" s="1387">
        <f t="shared" si="259"/>
        <v>17415</v>
      </c>
      <c r="AA974" s="1385">
        <f t="shared" si="260"/>
        <v>27</v>
      </c>
      <c r="AB974" s="1376">
        <f t="shared" si="260"/>
        <v>219480</v>
      </c>
      <c r="AC974" s="1377">
        <f t="shared" si="261"/>
        <v>37.5</v>
      </c>
      <c r="AD974" s="1378">
        <f t="shared" si="262"/>
        <v>0.54869999999999997</v>
      </c>
      <c r="AE974" s="1379" t="s">
        <v>2058</v>
      </c>
    </row>
    <row r="975" spans="1:31" s="1383" customFormat="1" ht="38.25">
      <c r="A975" s="1389"/>
      <c r="B975" s="1390"/>
      <c r="C975" s="1381" t="s">
        <v>197</v>
      </c>
      <c r="D975" s="1381">
        <v>1</v>
      </c>
      <c r="E975" s="1381" t="s">
        <v>65</v>
      </c>
      <c r="F975" s="1381">
        <v>11</v>
      </c>
      <c r="G975" s="1381">
        <v>2</v>
      </c>
      <c r="H975" s="1382">
        <v>22</v>
      </c>
      <c r="I975" s="233" t="s">
        <v>2167</v>
      </c>
      <c r="J975" s="1385" t="s">
        <v>2168</v>
      </c>
      <c r="K975" s="233">
        <v>60</v>
      </c>
      <c r="L975" s="1386">
        <v>150000</v>
      </c>
      <c r="M975" s="1385"/>
      <c r="N975" s="1386">
        <f>0+0</f>
        <v>0</v>
      </c>
      <c r="O975" s="1396">
        <v>10</v>
      </c>
      <c r="P975" s="1387">
        <v>40495.9</v>
      </c>
      <c r="Q975" s="1385">
        <v>2</v>
      </c>
      <c r="R975" s="1387">
        <v>0</v>
      </c>
      <c r="S975" s="1385"/>
      <c r="T975" s="1401"/>
      <c r="U975" s="1385"/>
      <c r="V975" s="1385"/>
      <c r="W975" s="1385"/>
      <c r="X975" s="1385"/>
      <c r="Y975" s="1389">
        <f t="shared" si="259"/>
        <v>2</v>
      </c>
      <c r="Z975" s="1387">
        <f t="shared" si="259"/>
        <v>0</v>
      </c>
      <c r="AA975" s="1385">
        <f t="shared" si="260"/>
        <v>2</v>
      </c>
      <c r="AB975" s="1376">
        <f t="shared" si="260"/>
        <v>0</v>
      </c>
      <c r="AC975" s="1377">
        <f t="shared" si="261"/>
        <v>3.3333333333333335</v>
      </c>
      <c r="AD975" s="1378">
        <f t="shared" si="262"/>
        <v>0</v>
      </c>
      <c r="AE975" s="1379" t="s">
        <v>2058</v>
      </c>
    </row>
    <row r="976" spans="1:31" s="2109" customFormat="1" ht="63.75">
      <c r="A976" s="616">
        <v>12</v>
      </c>
      <c r="B976" s="2110">
        <v>2938147000</v>
      </c>
      <c r="C976" s="623">
        <v>1</v>
      </c>
      <c r="D976" s="623">
        <v>1</v>
      </c>
      <c r="E976" s="623" t="s">
        <v>65</v>
      </c>
      <c r="F976" s="623">
        <v>11</v>
      </c>
      <c r="G976" s="623" t="s">
        <v>65</v>
      </c>
      <c r="H976" s="627"/>
      <c r="I976" s="383" t="s">
        <v>2169</v>
      </c>
      <c r="J976" s="1906" t="s">
        <v>453</v>
      </c>
      <c r="K976" s="344">
        <v>100</v>
      </c>
      <c r="L976" s="2110">
        <f>SUM(L977:L980)</f>
        <v>2938147</v>
      </c>
      <c r="M976" s="383">
        <v>33</v>
      </c>
      <c r="N976" s="2110">
        <f>SUM(N977:N980)</f>
        <v>707151.02600000007</v>
      </c>
      <c r="O976" s="383">
        <v>16</v>
      </c>
      <c r="P976" s="2110">
        <f>SUM(P977:P980)</f>
        <v>362812.5</v>
      </c>
      <c r="Q976" s="383">
        <v>6</v>
      </c>
      <c r="R976" s="628">
        <f>SUM(R977:R980)</f>
        <v>27783</v>
      </c>
      <c r="S976" s="383"/>
      <c r="T976" s="383"/>
      <c r="U976" s="383"/>
      <c r="V976" s="383"/>
      <c r="W976" s="383"/>
      <c r="X976" s="383"/>
      <c r="Y976" s="385">
        <f t="shared" si="259"/>
        <v>6</v>
      </c>
      <c r="Z976" s="628">
        <f t="shared" si="259"/>
        <v>27783</v>
      </c>
      <c r="AA976" s="2104">
        <f t="shared" si="260"/>
        <v>39</v>
      </c>
      <c r="AB976" s="2105">
        <f t="shared" si="260"/>
        <v>734934.02600000007</v>
      </c>
      <c r="AC976" s="2106">
        <f t="shared" si="261"/>
        <v>39</v>
      </c>
      <c r="AD976" s="2107">
        <f t="shared" si="262"/>
        <v>0.25013521311220988</v>
      </c>
      <c r="AE976" s="2108" t="s">
        <v>2058</v>
      </c>
    </row>
    <row r="977" spans="1:31" s="1383" customFormat="1" ht="38.25">
      <c r="A977" s="1389"/>
      <c r="B977" s="1399"/>
      <c r="C977" s="1381">
        <v>1</v>
      </c>
      <c r="D977" s="1381">
        <v>1</v>
      </c>
      <c r="E977" s="1381" t="s">
        <v>65</v>
      </c>
      <c r="F977" s="1381">
        <v>11</v>
      </c>
      <c r="G977" s="1381" t="s">
        <v>65</v>
      </c>
      <c r="H977" s="1382" t="s">
        <v>201</v>
      </c>
      <c r="I977" s="1385" t="s">
        <v>2170</v>
      </c>
      <c r="J977" s="1385" t="s">
        <v>2171</v>
      </c>
      <c r="K977" s="233">
        <v>80</v>
      </c>
      <c r="L977" s="1386">
        <v>1305942</v>
      </c>
      <c r="M977" s="1385">
        <v>20</v>
      </c>
      <c r="N977" s="1386">
        <f>4325+245883.5</f>
        <v>250208.5</v>
      </c>
      <c r="O977" s="1396">
        <v>29</v>
      </c>
      <c r="P977" s="1387">
        <v>154470</v>
      </c>
      <c r="Q977" s="1385"/>
      <c r="R977" s="1387">
        <v>0</v>
      </c>
      <c r="S977" s="1385"/>
      <c r="T977" s="1401"/>
      <c r="U977" s="1385"/>
      <c r="V977" s="1385"/>
      <c r="W977" s="1385"/>
      <c r="X977" s="1385"/>
      <c r="Y977" s="1389">
        <f t="shared" si="259"/>
        <v>0</v>
      </c>
      <c r="Z977" s="1387">
        <f t="shared" si="259"/>
        <v>0</v>
      </c>
      <c r="AA977" s="1385">
        <f t="shared" si="260"/>
        <v>20</v>
      </c>
      <c r="AB977" s="1376">
        <f t="shared" si="260"/>
        <v>250208.5</v>
      </c>
      <c r="AC977" s="1377">
        <f t="shared" si="261"/>
        <v>25</v>
      </c>
      <c r="AD977" s="1378">
        <f t="shared" si="262"/>
        <v>0.19159235249344916</v>
      </c>
      <c r="AE977" s="1379" t="s">
        <v>2058</v>
      </c>
    </row>
    <row r="978" spans="1:31" s="1383" customFormat="1" ht="51">
      <c r="A978" s="1389"/>
      <c r="B978" s="1399"/>
      <c r="C978" s="1381">
        <v>1</v>
      </c>
      <c r="D978" s="1381">
        <v>1</v>
      </c>
      <c r="E978" s="1381" t="s">
        <v>65</v>
      </c>
      <c r="F978" s="1381">
        <v>11</v>
      </c>
      <c r="G978" s="1381" t="s">
        <v>65</v>
      </c>
      <c r="H978" s="1382">
        <v>22</v>
      </c>
      <c r="I978" s="1385" t="s">
        <v>1566</v>
      </c>
      <c r="J978" s="1385" t="s">
        <v>2172</v>
      </c>
      <c r="K978" s="233">
        <v>72</v>
      </c>
      <c r="L978" s="1386">
        <v>380000</v>
      </c>
      <c r="M978" s="1385">
        <v>24</v>
      </c>
      <c r="N978" s="1386">
        <f>68205+67095.376</f>
        <v>135300.37599999999</v>
      </c>
      <c r="O978" s="1396">
        <v>12</v>
      </c>
      <c r="P978" s="1387">
        <v>30000</v>
      </c>
      <c r="Q978" s="1385">
        <v>3</v>
      </c>
      <c r="R978" s="1387">
        <v>0</v>
      </c>
      <c r="S978" s="1385"/>
      <c r="T978" s="1401"/>
      <c r="U978" s="1385"/>
      <c r="V978" s="1385"/>
      <c r="W978" s="1385"/>
      <c r="X978" s="1385"/>
      <c r="Y978" s="1389">
        <f t="shared" si="259"/>
        <v>3</v>
      </c>
      <c r="Z978" s="1387">
        <f t="shared" si="259"/>
        <v>0</v>
      </c>
      <c r="AA978" s="1385">
        <f t="shared" si="260"/>
        <v>27</v>
      </c>
      <c r="AB978" s="1376">
        <f t="shared" si="260"/>
        <v>135300.37599999999</v>
      </c>
      <c r="AC978" s="1377">
        <f t="shared" si="261"/>
        <v>37.5</v>
      </c>
      <c r="AD978" s="1378">
        <f t="shared" si="262"/>
        <v>0.35605362105263155</v>
      </c>
      <c r="AE978" s="1379" t="s">
        <v>2058</v>
      </c>
    </row>
    <row r="979" spans="1:31" s="1383" customFormat="1" ht="63.75">
      <c r="A979" s="1389"/>
      <c r="B979" s="1390"/>
      <c r="C979" s="1381">
        <v>1</v>
      </c>
      <c r="D979" s="1381">
        <v>1</v>
      </c>
      <c r="E979" s="1381" t="s">
        <v>65</v>
      </c>
      <c r="F979" s="1381">
        <v>11</v>
      </c>
      <c r="G979" s="1381" t="s">
        <v>65</v>
      </c>
      <c r="H979" s="1382">
        <v>24</v>
      </c>
      <c r="I979" s="1385" t="s">
        <v>2173</v>
      </c>
      <c r="J979" s="1385" t="s">
        <v>2174</v>
      </c>
      <c r="K979" s="233">
        <v>72</v>
      </c>
      <c r="L979" s="1386">
        <v>1101655</v>
      </c>
      <c r="M979" s="1385">
        <v>24</v>
      </c>
      <c r="N979" s="1386">
        <f>131666.45+163825.7</f>
        <v>295492.15000000002</v>
      </c>
      <c r="O979" s="1396">
        <v>12</v>
      </c>
      <c r="P979" s="1387">
        <v>166942.5</v>
      </c>
      <c r="Q979" s="1385">
        <v>3</v>
      </c>
      <c r="R979" s="1387">
        <v>27083</v>
      </c>
      <c r="S979" s="1385"/>
      <c r="T979" s="1401"/>
      <c r="U979" s="1385"/>
      <c r="V979" s="1385"/>
      <c r="W979" s="1385"/>
      <c r="X979" s="1385"/>
      <c r="Y979" s="1389">
        <f t="shared" si="259"/>
        <v>3</v>
      </c>
      <c r="Z979" s="1387">
        <f t="shared" si="259"/>
        <v>27083</v>
      </c>
      <c r="AA979" s="1385">
        <f t="shared" si="260"/>
        <v>27</v>
      </c>
      <c r="AB979" s="1376">
        <f t="shared" si="260"/>
        <v>322575.15000000002</v>
      </c>
      <c r="AC979" s="1377">
        <f t="shared" si="261"/>
        <v>37.5</v>
      </c>
      <c r="AD979" s="1378">
        <f t="shared" si="262"/>
        <v>0.29280959102441328</v>
      </c>
      <c r="AE979" s="1379" t="s">
        <v>2058</v>
      </c>
    </row>
    <row r="980" spans="1:31" s="1383" customFormat="1" ht="63.75">
      <c r="A980" s="1389"/>
      <c r="B980" s="1390"/>
      <c r="C980" s="1381">
        <v>1</v>
      </c>
      <c r="D980" s="1381">
        <v>1</v>
      </c>
      <c r="E980" s="1381" t="s">
        <v>65</v>
      </c>
      <c r="F980" s="1381">
        <v>11</v>
      </c>
      <c r="G980" s="1381" t="s">
        <v>65</v>
      </c>
      <c r="H980" s="1382">
        <v>26</v>
      </c>
      <c r="I980" s="1385" t="s">
        <v>2175</v>
      </c>
      <c r="J980" s="1385" t="s">
        <v>2176</v>
      </c>
      <c r="K980" s="233">
        <v>72</v>
      </c>
      <c r="L980" s="1386">
        <v>150550</v>
      </c>
      <c r="M980" s="1385">
        <v>24</v>
      </c>
      <c r="N980" s="1386">
        <f>15050+11100</f>
        <v>26150</v>
      </c>
      <c r="O980" s="1396">
        <v>12</v>
      </c>
      <c r="P980" s="1387">
        <v>11400</v>
      </c>
      <c r="Q980" s="1385">
        <v>3</v>
      </c>
      <c r="R980" s="1387">
        <v>700</v>
      </c>
      <c r="S980" s="1385"/>
      <c r="T980" s="1401"/>
      <c r="U980" s="1385"/>
      <c r="V980" s="1385"/>
      <c r="W980" s="1385"/>
      <c r="X980" s="1385"/>
      <c r="Y980" s="1389">
        <f t="shared" si="259"/>
        <v>3</v>
      </c>
      <c r="Z980" s="1387">
        <f t="shared" si="259"/>
        <v>700</v>
      </c>
      <c r="AA980" s="1385">
        <f t="shared" si="260"/>
        <v>27</v>
      </c>
      <c r="AB980" s="1376">
        <f t="shared" si="260"/>
        <v>26850</v>
      </c>
      <c r="AC980" s="1377">
        <f t="shared" si="261"/>
        <v>37.5</v>
      </c>
      <c r="AD980" s="1378">
        <f t="shared" si="262"/>
        <v>0.17834606443042178</v>
      </c>
      <c r="AE980" s="1402"/>
    </row>
    <row r="981" spans="1:31" s="2117" customFormat="1" ht="38.25">
      <c r="A981" s="385"/>
      <c r="B981" s="2114"/>
      <c r="C981" s="368" t="s">
        <v>66</v>
      </c>
      <c r="D981" s="368" t="s">
        <v>66</v>
      </c>
      <c r="E981" s="368" t="s">
        <v>66</v>
      </c>
      <c r="F981" s="368" t="s">
        <v>66</v>
      </c>
      <c r="G981" s="368" t="s">
        <v>161</v>
      </c>
      <c r="H981" s="1900"/>
      <c r="I981" s="344" t="s">
        <v>264</v>
      </c>
      <c r="J981" s="344" t="s">
        <v>2177</v>
      </c>
      <c r="K981" s="741">
        <v>50</v>
      </c>
      <c r="L981" s="2110">
        <f>L982</f>
        <v>283139</v>
      </c>
      <c r="M981" s="384">
        <v>18</v>
      </c>
      <c r="N981" s="2115">
        <f>SUM(N982)</f>
        <v>100000</v>
      </c>
      <c r="O981" s="1259"/>
      <c r="P981" s="590"/>
      <c r="Q981" s="384"/>
      <c r="R981" s="590"/>
      <c r="S981" s="384"/>
      <c r="T981" s="1205"/>
      <c r="U981" s="384"/>
      <c r="V981" s="384"/>
      <c r="W981" s="384"/>
      <c r="X981" s="384"/>
      <c r="Y981" s="385">
        <f t="shared" si="259"/>
        <v>0</v>
      </c>
      <c r="Z981" s="590">
        <f t="shared" si="259"/>
        <v>0</v>
      </c>
      <c r="AA981" s="384">
        <f t="shared" si="260"/>
        <v>18</v>
      </c>
      <c r="AB981" s="624">
        <f t="shared" si="260"/>
        <v>100000</v>
      </c>
      <c r="AC981" s="2111">
        <f t="shared" si="261"/>
        <v>36</v>
      </c>
      <c r="AD981" s="2112">
        <f t="shared" si="262"/>
        <v>0.35318341874485676</v>
      </c>
      <c r="AE981" s="2116"/>
    </row>
    <row r="982" spans="1:31" s="1383" customFormat="1" ht="38.25">
      <c r="A982" s="1389"/>
      <c r="B982" s="1390"/>
      <c r="C982" s="1381"/>
      <c r="D982" s="1381"/>
      <c r="E982" s="1381"/>
      <c r="F982" s="1381"/>
      <c r="G982" s="1381"/>
      <c r="H982" s="1382"/>
      <c r="I982" s="235" t="s">
        <v>209</v>
      </c>
      <c r="J982" s="233" t="s">
        <v>2178</v>
      </c>
      <c r="K982" s="233">
        <v>24</v>
      </c>
      <c r="L982" s="1386">
        <v>283139</v>
      </c>
      <c r="M982" s="1385">
        <v>9</v>
      </c>
      <c r="N982" s="1386">
        <v>100000</v>
      </c>
      <c r="O982" s="1396"/>
      <c r="P982" s="1387"/>
      <c r="Q982" s="1385"/>
      <c r="R982" s="1387"/>
      <c r="S982" s="1385"/>
      <c r="T982" s="1401"/>
      <c r="U982" s="1385"/>
      <c r="V982" s="1385"/>
      <c r="W982" s="1385"/>
      <c r="X982" s="1385"/>
      <c r="Y982" s="1389">
        <f t="shared" si="259"/>
        <v>0</v>
      </c>
      <c r="Z982" s="1387">
        <f t="shared" si="259"/>
        <v>0</v>
      </c>
      <c r="AA982" s="1385">
        <f t="shared" si="260"/>
        <v>9</v>
      </c>
      <c r="AB982" s="1376">
        <f t="shared" si="260"/>
        <v>100000</v>
      </c>
      <c r="AC982" s="1377">
        <f t="shared" si="261"/>
        <v>37.5</v>
      </c>
      <c r="AD982" s="1378">
        <f t="shared" si="262"/>
        <v>0.35318341874485676</v>
      </c>
      <c r="AE982" s="1402"/>
    </row>
    <row r="983" spans="1:31" s="1383" customFormat="1" ht="15">
      <c r="A983" s="2316" t="s">
        <v>89</v>
      </c>
      <c r="B983" s="2316"/>
      <c r="C983" s="2317"/>
      <c r="D983" s="2317"/>
      <c r="E983" s="2317"/>
      <c r="F983" s="2317"/>
      <c r="G983" s="2317"/>
      <c r="H983" s="2317"/>
      <c r="I983" s="2317"/>
      <c r="J983" s="2317"/>
      <c r="K983" s="2317"/>
      <c r="L983" s="2317"/>
      <c r="M983" s="2317"/>
      <c r="N983" s="2317"/>
      <c r="O983" s="2317"/>
      <c r="P983" s="2317"/>
      <c r="Q983" s="2317"/>
      <c r="R983" s="2317"/>
      <c r="S983" s="2317"/>
      <c r="T983" s="2317"/>
      <c r="U983" s="2317"/>
      <c r="V983" s="2317"/>
      <c r="W983" s="2317"/>
      <c r="X983" s="2317"/>
      <c r="Y983" s="2317"/>
      <c r="Z983" s="2317"/>
      <c r="AA983" s="1385">
        <f t="shared" si="260"/>
        <v>0</v>
      </c>
      <c r="AB983" s="1387"/>
      <c r="AC983" s="1377" t="e">
        <f>AVERAGE(AC903:AC982)</f>
        <v>#VALUE!</v>
      </c>
      <c r="AD983" s="1378">
        <f>Q985/P985</f>
        <v>0.24849704084453411</v>
      </c>
      <c r="AE983" s="1402"/>
    </row>
    <row r="984" spans="1:31" customFormat="1" ht="15">
      <c r="A984" s="2496" t="s">
        <v>90</v>
      </c>
      <c r="B984" s="2496"/>
      <c r="C984" s="2497"/>
      <c r="D984" s="2497"/>
      <c r="E984" s="2497"/>
      <c r="F984" s="2497"/>
      <c r="G984" s="2497"/>
      <c r="H984" s="2497"/>
      <c r="I984" s="2497"/>
      <c r="J984" s="2497"/>
      <c r="K984" s="2497"/>
      <c r="L984" s="2497"/>
      <c r="M984" s="2497"/>
      <c r="N984" s="2497"/>
      <c r="O984" s="2497"/>
      <c r="P984" s="2497"/>
      <c r="Q984" s="2497"/>
      <c r="R984" s="2497"/>
      <c r="S984" s="2497"/>
      <c r="T984" s="2497"/>
      <c r="U984" s="2497"/>
      <c r="V984" s="2497"/>
      <c r="W984" s="2497"/>
      <c r="X984" s="2497"/>
      <c r="Y984" s="2497"/>
      <c r="Z984" s="2497"/>
      <c r="AA984" s="2497"/>
      <c r="AB984" s="2497"/>
      <c r="AC984" s="1379" t="e">
        <f>IF(AC983&gt;=45,"ST",IF(AC983&gt;=38,"T",IF(AC983&gt;=32,"S",IF(AC983&gt;=25,"R","SR"))))</f>
        <v>#VALUE!</v>
      </c>
      <c r="AD984" s="1379" t="str">
        <f>IF(AD983&gt;=45,"ST",IF(AD983&gt;=38,"T",IF(AD983&gt;=32,"S",IF(AD983&gt;=25,"R","SR"))))</f>
        <v>SR</v>
      </c>
      <c r="AE984" s="1402"/>
    </row>
    <row r="985" spans="1:31" customFormat="1" ht="16.5">
      <c r="A985" s="2523" t="s">
        <v>100</v>
      </c>
      <c r="B985" s="2523"/>
      <c r="C985" s="2523"/>
      <c r="D985" s="2523"/>
      <c r="E985" s="2523"/>
      <c r="F985" s="2523"/>
      <c r="G985" s="2523"/>
      <c r="H985" s="2523"/>
      <c r="I985" s="2523"/>
      <c r="J985" s="2523"/>
      <c r="K985" s="2523"/>
      <c r="L985" s="2523"/>
      <c r="M985" s="2523"/>
      <c r="N985" s="2523"/>
      <c r="O985" s="2523"/>
      <c r="P985" s="1403">
        <f>P981+P976+P964+P962+P958+P955+P948+P934+P922+P920+P912+P905+P903</f>
        <v>240381439.30000001</v>
      </c>
      <c r="Q985" s="2524">
        <f>Z903+Z905+Z912+Z920+Z922+Z934+Z948+Z955+Z958+Z962+Z964+Z976</f>
        <v>59734076.340000004</v>
      </c>
      <c r="R985" s="2525"/>
      <c r="S985" s="2525"/>
      <c r="T985" s="2525"/>
      <c r="U985" s="2525"/>
      <c r="V985" s="2525"/>
      <c r="W985" s="2525"/>
      <c r="X985" s="2525"/>
      <c r="Y985" s="2525"/>
      <c r="Z985" s="2525"/>
      <c r="AA985" s="2526"/>
      <c r="AB985" s="1403"/>
      <c r="AC985" s="1404"/>
      <c r="AD985" s="1404"/>
      <c r="AE985" s="1404"/>
    </row>
    <row r="986" spans="1:31" s="69" customFormat="1" ht="40.5" customHeight="1">
      <c r="A986" s="74">
        <v>18</v>
      </c>
      <c r="B986" s="74"/>
      <c r="C986" s="74"/>
      <c r="D986" s="74"/>
      <c r="E986" s="74"/>
      <c r="F986" s="74"/>
      <c r="G986" s="74"/>
      <c r="H986" s="74"/>
      <c r="I986" s="76" t="s">
        <v>145</v>
      </c>
      <c r="J986" s="74"/>
      <c r="K986" s="74"/>
      <c r="L986" s="74"/>
      <c r="M986" s="74"/>
      <c r="N986" s="74"/>
      <c r="O986" s="74"/>
      <c r="P986" s="74"/>
      <c r="Q986" s="74"/>
      <c r="R986" s="74"/>
      <c r="S986" s="74"/>
      <c r="T986" s="74"/>
      <c r="U986" s="74"/>
      <c r="V986" s="74"/>
      <c r="W986" s="74"/>
      <c r="X986" s="74"/>
      <c r="Y986" s="564"/>
      <c r="Z986" s="74"/>
      <c r="AA986" s="74"/>
      <c r="AB986" s="74"/>
      <c r="AC986" s="74"/>
      <c r="AD986" s="74"/>
      <c r="AE986" s="74"/>
    </row>
    <row r="987" spans="1:31" s="1297" customFormat="1" ht="46.5" customHeight="1">
      <c r="A987" s="1299" t="s">
        <v>66</v>
      </c>
      <c r="B987" s="1300" t="s">
        <v>1935</v>
      </c>
      <c r="C987" s="1301" t="s">
        <v>146</v>
      </c>
      <c r="D987" s="1301" t="s">
        <v>65</v>
      </c>
      <c r="E987" s="1301">
        <v>12</v>
      </c>
      <c r="F987" s="1302" t="s">
        <v>1936</v>
      </c>
      <c r="G987" s="1302"/>
      <c r="H987" s="1302"/>
      <c r="I987" s="1303" t="s">
        <v>520</v>
      </c>
      <c r="J987" s="1300" t="s">
        <v>1937</v>
      </c>
      <c r="K987" s="1304">
        <v>0.9</v>
      </c>
      <c r="L987" s="1305">
        <f>SUM(L988:L999)</f>
        <v>1036253689</v>
      </c>
      <c r="M987" s="1306">
        <v>0.9607</v>
      </c>
      <c r="N987" s="1305">
        <f>SUM(N988:N1000)</f>
        <v>691767385</v>
      </c>
      <c r="O987" s="1306">
        <v>0.26290000000000002</v>
      </c>
      <c r="P987" s="1305">
        <f>SUM(P988:P1001)</f>
        <v>550131434</v>
      </c>
      <c r="Q987" s="1307">
        <f>+R987/P987*100</f>
        <v>24.285607173648614</v>
      </c>
      <c r="R987" s="1305">
        <f>SUM(R988:R1000)</f>
        <v>133602759</v>
      </c>
      <c r="S987" s="1308"/>
      <c r="T987" s="1305"/>
      <c r="U987" s="1308"/>
      <c r="V987" s="1305"/>
      <c r="W987" s="1300"/>
      <c r="X987" s="1300"/>
      <c r="Y987" s="1309">
        <f>+Q987</f>
        <v>24.285607173648614</v>
      </c>
      <c r="Z987" s="1305">
        <f>+R987</f>
        <v>133602759</v>
      </c>
      <c r="AA987" s="1310">
        <f t="shared" ref="AA987:AB1038" si="264">M987+Y987</f>
        <v>25.246307173648614</v>
      </c>
      <c r="AB987" s="1311">
        <f>N987+Z987</f>
        <v>825370144</v>
      </c>
      <c r="AC987" s="1312">
        <f>+Y987</f>
        <v>24.285607173648614</v>
      </c>
      <c r="AD987" s="1313">
        <f>(AB987/L987)*100%</f>
        <v>0.79649428779982856</v>
      </c>
      <c r="AE987" s="1314" t="s">
        <v>1938</v>
      </c>
    </row>
    <row r="988" spans="1:31" s="1298" customFormat="1" ht="38.25" customHeight="1">
      <c r="A988" s="1314"/>
      <c r="B988" s="1314"/>
      <c r="C988" s="1301" t="s">
        <v>146</v>
      </c>
      <c r="D988" s="1301" t="s">
        <v>65</v>
      </c>
      <c r="E988" s="1301">
        <v>12</v>
      </c>
      <c r="F988" s="1302" t="s">
        <v>1936</v>
      </c>
      <c r="G988" s="1302"/>
      <c r="H988" s="1315" t="s">
        <v>65</v>
      </c>
      <c r="I988" s="1316" t="s">
        <v>147</v>
      </c>
      <c r="J988" s="1317" t="s">
        <v>1939</v>
      </c>
      <c r="K988" s="1318">
        <v>1</v>
      </c>
      <c r="L988" s="1319">
        <v>102021120</v>
      </c>
      <c r="M988" s="1320" t="s">
        <v>1940</v>
      </c>
      <c r="N988" s="1321">
        <v>46344612</v>
      </c>
      <c r="O988" s="1320" t="s">
        <v>1941</v>
      </c>
      <c r="P988" s="1321">
        <v>42000000</v>
      </c>
      <c r="Q988" s="1307">
        <f>+R988/P988*100</f>
        <v>11.367997619047619</v>
      </c>
      <c r="R988" s="1319">
        <v>4774559</v>
      </c>
      <c r="S988" s="1308"/>
      <c r="T988" s="1319"/>
      <c r="U988" s="1308"/>
      <c r="V988" s="1322"/>
      <c r="W988" s="1314"/>
      <c r="X988" s="1314"/>
      <c r="Y988" s="1309">
        <f t="shared" ref="Y988:Z1038" si="265">+Q988</f>
        <v>11.367997619047619</v>
      </c>
      <c r="Z988" s="1305">
        <f t="shared" si="265"/>
        <v>4774559</v>
      </c>
      <c r="AA988" s="1310" t="e">
        <f t="shared" si="264"/>
        <v>#VALUE!</v>
      </c>
      <c r="AB988" s="1311">
        <f t="shared" si="264"/>
        <v>51119171</v>
      </c>
      <c r="AC988" s="1312">
        <f t="shared" ref="AC988:AC1042" si="266">+Y988</f>
        <v>11.367997619047619</v>
      </c>
      <c r="AD988" s="1313">
        <f>(AB988/L988)*100%</f>
        <v>0.50106459329205566</v>
      </c>
      <c r="AE988" s="1314" t="s">
        <v>1938</v>
      </c>
    </row>
    <row r="989" spans="1:31" s="1298" customFormat="1" ht="42" customHeight="1">
      <c r="A989" s="1314"/>
      <c r="B989" s="1314"/>
      <c r="C989" s="1301" t="s">
        <v>146</v>
      </c>
      <c r="D989" s="1301" t="s">
        <v>65</v>
      </c>
      <c r="E989" s="1301">
        <v>12</v>
      </c>
      <c r="F989" s="1302" t="s">
        <v>1936</v>
      </c>
      <c r="G989" s="1302"/>
      <c r="H989" s="1323" t="s">
        <v>1942</v>
      </c>
      <c r="I989" s="1324" t="s">
        <v>148</v>
      </c>
      <c r="J989" s="1325" t="s">
        <v>1943</v>
      </c>
      <c r="K989" s="1318">
        <v>1</v>
      </c>
      <c r="L989" s="1319">
        <v>120056200</v>
      </c>
      <c r="M989" s="1310">
        <v>0.88439999999999996</v>
      </c>
      <c r="N989" s="1319">
        <v>64030000</v>
      </c>
      <c r="O989" s="1310">
        <v>0.13719999999999999</v>
      </c>
      <c r="P989" s="1319">
        <v>67800000</v>
      </c>
      <c r="Q989" s="1307">
        <f t="shared" ref="Q989:Q1038" si="267">+R989/P989*100</f>
        <v>16.592920353982301</v>
      </c>
      <c r="R989" s="1319">
        <v>11250000</v>
      </c>
      <c r="S989" s="1308"/>
      <c r="T989" s="1319"/>
      <c r="U989" s="1308"/>
      <c r="V989" s="1322"/>
      <c r="W989" s="1314"/>
      <c r="X989" s="1314"/>
      <c r="Y989" s="1309">
        <f t="shared" si="265"/>
        <v>16.592920353982301</v>
      </c>
      <c r="Z989" s="1305">
        <f t="shared" si="265"/>
        <v>11250000</v>
      </c>
      <c r="AA989" s="1310">
        <f t="shared" si="264"/>
        <v>17.4773203539823</v>
      </c>
      <c r="AB989" s="1311">
        <f t="shared" si="264"/>
        <v>75280000</v>
      </c>
      <c r="AC989" s="1312">
        <f t="shared" si="266"/>
        <v>16.592920353982301</v>
      </c>
      <c r="AD989" s="1313">
        <f t="shared" ref="AD989:AD1038" si="268">(AB989/L989)*100%</f>
        <v>0.62703966975466485</v>
      </c>
      <c r="AE989" s="1314" t="s">
        <v>1938</v>
      </c>
    </row>
    <row r="990" spans="1:31" s="1298" customFormat="1" ht="42" customHeight="1">
      <c r="A990" s="1314"/>
      <c r="B990" s="1314"/>
      <c r="C990" s="1301" t="s">
        <v>146</v>
      </c>
      <c r="D990" s="1301" t="s">
        <v>65</v>
      </c>
      <c r="E990" s="1301">
        <v>12</v>
      </c>
      <c r="F990" s="1302" t="s">
        <v>1936</v>
      </c>
      <c r="G990" s="1302"/>
      <c r="H990" s="1323" t="s">
        <v>1944</v>
      </c>
      <c r="I990" s="1326" t="s">
        <v>149</v>
      </c>
      <c r="J990" s="1325" t="s">
        <v>1945</v>
      </c>
      <c r="K990" s="1318">
        <v>1</v>
      </c>
      <c r="L990" s="1319">
        <v>32454950</v>
      </c>
      <c r="M990" s="1310">
        <v>0.96719999999999995</v>
      </c>
      <c r="N990" s="1319">
        <v>13163000</v>
      </c>
      <c r="O990" s="1314">
        <v>0</v>
      </c>
      <c r="P990" s="1319">
        <v>82018500</v>
      </c>
      <c r="Q990" s="1307">
        <f t="shared" si="267"/>
        <v>1.1186500606570469</v>
      </c>
      <c r="R990" s="1319">
        <v>917500</v>
      </c>
      <c r="S990" s="1308"/>
      <c r="T990" s="1319"/>
      <c r="U990" s="1308"/>
      <c r="V990" s="1322"/>
      <c r="W990" s="1314"/>
      <c r="X990" s="1314"/>
      <c r="Y990" s="1309">
        <f t="shared" si="265"/>
        <v>1.1186500606570469</v>
      </c>
      <c r="Z990" s="1305">
        <f t="shared" si="265"/>
        <v>917500</v>
      </c>
      <c r="AA990" s="1310">
        <f t="shared" si="264"/>
        <v>2.0858500606570467</v>
      </c>
      <c r="AB990" s="1311">
        <f t="shared" si="264"/>
        <v>14080500</v>
      </c>
      <c r="AC990" s="1312">
        <f t="shared" si="266"/>
        <v>1.1186500606570469</v>
      </c>
      <c r="AD990" s="1313">
        <f t="shared" si="268"/>
        <v>0.43384753327304465</v>
      </c>
      <c r="AE990" s="1314" t="s">
        <v>1938</v>
      </c>
    </row>
    <row r="991" spans="1:31" s="1298" customFormat="1" ht="44.25" customHeight="1">
      <c r="A991" s="1314"/>
      <c r="B991" s="1314"/>
      <c r="C991" s="1301" t="s">
        <v>146</v>
      </c>
      <c r="D991" s="1301" t="s">
        <v>65</v>
      </c>
      <c r="E991" s="1301">
        <v>12</v>
      </c>
      <c r="F991" s="1302" t="s">
        <v>1936</v>
      </c>
      <c r="G991" s="1302"/>
      <c r="H991" s="1323" t="s">
        <v>1946</v>
      </c>
      <c r="I991" s="1326" t="s">
        <v>1410</v>
      </c>
      <c r="J991" s="1325" t="s">
        <v>1947</v>
      </c>
      <c r="K991" s="1318">
        <v>1</v>
      </c>
      <c r="L991" s="1319">
        <v>22254320</v>
      </c>
      <c r="M991" s="1327" t="s">
        <v>1948</v>
      </c>
      <c r="N991" s="1319">
        <v>10680000</v>
      </c>
      <c r="O991" s="1310">
        <v>0.1283</v>
      </c>
      <c r="P991" s="1319">
        <v>15200000</v>
      </c>
      <c r="Q991" s="1307">
        <f t="shared" si="267"/>
        <v>12.828947368421053</v>
      </c>
      <c r="R991" s="1319">
        <v>1950000</v>
      </c>
      <c r="S991" s="1308"/>
      <c r="T991" s="1319"/>
      <c r="U991" s="1308"/>
      <c r="V991" s="1322"/>
      <c r="W991" s="1314"/>
      <c r="X991" s="1314"/>
      <c r="Y991" s="1309">
        <f t="shared" si="265"/>
        <v>12.828947368421053</v>
      </c>
      <c r="Z991" s="1305">
        <f t="shared" si="265"/>
        <v>1950000</v>
      </c>
      <c r="AA991" s="1310" t="e">
        <f t="shared" si="264"/>
        <v>#VALUE!</v>
      </c>
      <c r="AB991" s="1311">
        <f t="shared" si="264"/>
        <v>12630000</v>
      </c>
      <c r="AC991" s="1312">
        <f t="shared" si="266"/>
        <v>12.828947368421053</v>
      </c>
      <c r="AD991" s="1313">
        <f t="shared" si="268"/>
        <v>0.56753025929347656</v>
      </c>
      <c r="AE991" s="1314" t="s">
        <v>1938</v>
      </c>
    </row>
    <row r="992" spans="1:31" s="1298" customFormat="1" ht="39.75" customHeight="1">
      <c r="A992" s="1314"/>
      <c r="B992" s="1314"/>
      <c r="C992" s="1301" t="s">
        <v>146</v>
      </c>
      <c r="D992" s="1301" t="s">
        <v>65</v>
      </c>
      <c r="E992" s="1301">
        <v>12</v>
      </c>
      <c r="F992" s="1302" t="s">
        <v>1936</v>
      </c>
      <c r="G992" s="1302"/>
      <c r="H992" s="1323" t="s">
        <v>1949</v>
      </c>
      <c r="I992" s="1326" t="s">
        <v>150</v>
      </c>
      <c r="J992" s="1325" t="s">
        <v>1950</v>
      </c>
      <c r="K992" s="1318">
        <v>1</v>
      </c>
      <c r="L992" s="1319">
        <v>67330829</v>
      </c>
      <c r="M992" s="1310">
        <v>0.98260000000000003</v>
      </c>
      <c r="N992" s="1319">
        <v>31906000</v>
      </c>
      <c r="O992" s="1310">
        <v>0.24990000000000001</v>
      </c>
      <c r="P992" s="1319">
        <v>32324500</v>
      </c>
      <c r="Q992" s="1307">
        <f t="shared" si="267"/>
        <v>25.100156228247922</v>
      </c>
      <c r="R992" s="1319">
        <v>8113500</v>
      </c>
      <c r="S992" s="1308"/>
      <c r="T992" s="1319"/>
      <c r="U992" s="1308"/>
      <c r="V992" s="1322"/>
      <c r="W992" s="1314"/>
      <c r="X992" s="1314"/>
      <c r="Y992" s="1309">
        <f t="shared" si="265"/>
        <v>25.100156228247922</v>
      </c>
      <c r="Z992" s="1305">
        <f t="shared" si="265"/>
        <v>8113500</v>
      </c>
      <c r="AA992" s="1310">
        <f t="shared" si="264"/>
        <v>26.082756228247924</v>
      </c>
      <c r="AB992" s="1311">
        <f t="shared" si="264"/>
        <v>40019500</v>
      </c>
      <c r="AC992" s="1312">
        <f t="shared" si="266"/>
        <v>25.100156228247922</v>
      </c>
      <c r="AD992" s="1313">
        <f t="shared" si="268"/>
        <v>0.59437111638711593</v>
      </c>
      <c r="AE992" s="1314" t="s">
        <v>1938</v>
      </c>
    </row>
    <row r="993" spans="1:31" s="1298" customFormat="1" ht="41.25" customHeight="1">
      <c r="A993" s="1314"/>
      <c r="B993" s="1314"/>
      <c r="C993" s="1301" t="s">
        <v>146</v>
      </c>
      <c r="D993" s="1301" t="s">
        <v>65</v>
      </c>
      <c r="E993" s="1301">
        <v>12</v>
      </c>
      <c r="F993" s="1302" t="s">
        <v>1936</v>
      </c>
      <c r="G993" s="1302"/>
      <c r="H993" s="1323" t="s">
        <v>1951</v>
      </c>
      <c r="I993" s="1326" t="s">
        <v>151</v>
      </c>
      <c r="J993" s="1325" t="s">
        <v>1952</v>
      </c>
      <c r="K993" s="1318">
        <v>1</v>
      </c>
      <c r="L993" s="1319">
        <v>66396935</v>
      </c>
      <c r="M993" s="1327" t="s">
        <v>1953</v>
      </c>
      <c r="N993" s="1319">
        <v>45274000</v>
      </c>
      <c r="O993" s="1310">
        <v>0.16389999999999999</v>
      </c>
      <c r="P993" s="1319">
        <v>24870700</v>
      </c>
      <c r="Q993" s="1307">
        <f t="shared" si="267"/>
        <v>29.884160880071732</v>
      </c>
      <c r="R993" s="1319">
        <v>7432400</v>
      </c>
      <c r="S993" s="1308"/>
      <c r="T993" s="1319"/>
      <c r="U993" s="1308"/>
      <c r="V993" s="1322"/>
      <c r="W993" s="1314"/>
      <c r="X993" s="1314"/>
      <c r="Y993" s="1309">
        <f t="shared" si="265"/>
        <v>29.884160880071732</v>
      </c>
      <c r="Z993" s="1305">
        <f t="shared" si="265"/>
        <v>7432400</v>
      </c>
      <c r="AA993" s="1310" t="e">
        <f t="shared" si="264"/>
        <v>#VALUE!</v>
      </c>
      <c r="AB993" s="1311">
        <f t="shared" si="264"/>
        <v>52706400</v>
      </c>
      <c r="AC993" s="1312">
        <f t="shared" si="266"/>
        <v>29.884160880071732</v>
      </c>
      <c r="AD993" s="1313">
        <f t="shared" si="268"/>
        <v>0.79380772621507301</v>
      </c>
      <c r="AE993" s="1314" t="s">
        <v>1938</v>
      </c>
    </row>
    <row r="994" spans="1:31" s="1298" customFormat="1" ht="45.75" customHeight="1">
      <c r="A994" s="1314"/>
      <c r="B994" s="1314"/>
      <c r="C994" s="1301" t="s">
        <v>146</v>
      </c>
      <c r="D994" s="1301" t="s">
        <v>65</v>
      </c>
      <c r="E994" s="1301">
        <v>12</v>
      </c>
      <c r="F994" s="1302" t="s">
        <v>1936</v>
      </c>
      <c r="G994" s="1302"/>
      <c r="H994" s="1323" t="s">
        <v>1954</v>
      </c>
      <c r="I994" s="1328" t="s">
        <v>152</v>
      </c>
      <c r="J994" s="1325" t="s">
        <v>1955</v>
      </c>
      <c r="K994" s="1318">
        <v>1</v>
      </c>
      <c r="L994" s="1319">
        <v>30735562</v>
      </c>
      <c r="M994" s="1310">
        <v>0.99619999999999997</v>
      </c>
      <c r="N994" s="1319">
        <v>8061700</v>
      </c>
      <c r="O994" s="1310">
        <v>3.1800000000000002E-2</v>
      </c>
      <c r="P994" s="1319">
        <v>14831000</v>
      </c>
      <c r="Q994" s="1307">
        <f t="shared" si="267"/>
        <v>3.1838716202548718</v>
      </c>
      <c r="R994" s="1319">
        <v>472200</v>
      </c>
      <c r="S994" s="1308"/>
      <c r="T994" s="1319"/>
      <c r="U994" s="1308"/>
      <c r="V994" s="1322"/>
      <c r="W994" s="1314"/>
      <c r="X994" s="1314"/>
      <c r="Y994" s="1309">
        <f t="shared" si="265"/>
        <v>3.1838716202548718</v>
      </c>
      <c r="Z994" s="1305">
        <f t="shared" si="265"/>
        <v>472200</v>
      </c>
      <c r="AA994" s="1310">
        <f t="shared" si="264"/>
        <v>4.1800716202548713</v>
      </c>
      <c r="AB994" s="1311">
        <f t="shared" si="264"/>
        <v>8533900</v>
      </c>
      <c r="AC994" s="1312">
        <f t="shared" si="266"/>
        <v>3.1838716202548718</v>
      </c>
      <c r="AD994" s="1313">
        <f t="shared" si="268"/>
        <v>0.27765557044312383</v>
      </c>
      <c r="AE994" s="1314" t="s">
        <v>1938</v>
      </c>
    </row>
    <row r="995" spans="1:31" s="1298" customFormat="1" ht="45.75" customHeight="1">
      <c r="A995" s="1314"/>
      <c r="B995" s="1314"/>
      <c r="C995" s="1301" t="s">
        <v>146</v>
      </c>
      <c r="D995" s="1301" t="s">
        <v>65</v>
      </c>
      <c r="E995" s="1301">
        <v>12</v>
      </c>
      <c r="F995" s="1302" t="s">
        <v>1936</v>
      </c>
      <c r="G995" s="1302"/>
      <c r="H995" s="1323"/>
      <c r="I995" s="1328" t="s">
        <v>153</v>
      </c>
      <c r="J995" s="1325" t="s">
        <v>1956</v>
      </c>
      <c r="K995" s="1318">
        <v>1</v>
      </c>
      <c r="L995" s="1319">
        <v>86000000</v>
      </c>
      <c r="M995" s="1327">
        <v>0.9849</v>
      </c>
      <c r="N995" s="1319">
        <v>57940000</v>
      </c>
      <c r="O995" s="1320" t="s">
        <v>154</v>
      </c>
      <c r="P995" s="1319">
        <v>37650000</v>
      </c>
      <c r="Q995" s="1307">
        <f t="shared" si="267"/>
        <v>0</v>
      </c>
      <c r="R995" s="1319">
        <v>0</v>
      </c>
      <c r="S995" s="1308"/>
      <c r="T995" s="1319"/>
      <c r="U995" s="1308"/>
      <c r="V995" s="1322"/>
      <c r="W995" s="1314"/>
      <c r="X995" s="1314"/>
      <c r="Y995" s="1309">
        <f t="shared" si="265"/>
        <v>0</v>
      </c>
      <c r="Z995" s="1305">
        <f t="shared" si="265"/>
        <v>0</v>
      </c>
      <c r="AA995" s="1310">
        <f t="shared" si="264"/>
        <v>0.9849</v>
      </c>
      <c r="AB995" s="1311">
        <f t="shared" si="264"/>
        <v>57940000</v>
      </c>
      <c r="AC995" s="1312">
        <f t="shared" si="266"/>
        <v>0</v>
      </c>
      <c r="AD995" s="1313">
        <f t="shared" si="268"/>
        <v>0.67372093023255819</v>
      </c>
      <c r="AE995" s="1314" t="s">
        <v>1938</v>
      </c>
    </row>
    <row r="996" spans="1:31" s="1298" customFormat="1" ht="48.75" customHeight="1">
      <c r="A996" s="1314"/>
      <c r="B996" s="1314"/>
      <c r="C996" s="1301" t="s">
        <v>146</v>
      </c>
      <c r="D996" s="1301" t="s">
        <v>65</v>
      </c>
      <c r="E996" s="1301">
        <v>12</v>
      </c>
      <c r="F996" s="1302" t="s">
        <v>1936</v>
      </c>
      <c r="G996" s="1302"/>
      <c r="H996" s="1315" t="s">
        <v>155</v>
      </c>
      <c r="I996" s="1316" t="s">
        <v>156</v>
      </c>
      <c r="J996" s="1325" t="s">
        <v>1957</v>
      </c>
      <c r="K996" s="1318">
        <v>1</v>
      </c>
      <c r="L996" s="1319">
        <v>22254320</v>
      </c>
      <c r="M996" s="1327" t="s">
        <v>1958</v>
      </c>
      <c r="N996" s="1319">
        <v>18270000</v>
      </c>
      <c r="O996" s="1310">
        <v>0.47370000000000001</v>
      </c>
      <c r="P996" s="1319">
        <v>13900000</v>
      </c>
      <c r="Q996" s="1307">
        <f t="shared" si="267"/>
        <v>51.798561151079134</v>
      </c>
      <c r="R996" s="1319">
        <v>7200000</v>
      </c>
      <c r="S996" s="1308"/>
      <c r="T996" s="1319"/>
      <c r="U996" s="1308"/>
      <c r="V996" s="1322"/>
      <c r="W996" s="1314"/>
      <c r="X996" s="1314"/>
      <c r="Y996" s="1309">
        <f t="shared" si="265"/>
        <v>51.798561151079134</v>
      </c>
      <c r="Z996" s="1305">
        <f t="shared" si="265"/>
        <v>7200000</v>
      </c>
      <c r="AA996" s="1310" t="e">
        <f t="shared" si="264"/>
        <v>#VALUE!</v>
      </c>
      <c r="AB996" s="1311">
        <f t="shared" si="264"/>
        <v>25470000</v>
      </c>
      <c r="AC996" s="1312">
        <f t="shared" si="266"/>
        <v>51.798561151079134</v>
      </c>
      <c r="AD996" s="1313">
        <f t="shared" si="268"/>
        <v>1.1444968886939704</v>
      </c>
      <c r="AE996" s="1314" t="s">
        <v>1938</v>
      </c>
    </row>
    <row r="997" spans="1:31" s="1298" customFormat="1" ht="47.25" customHeight="1">
      <c r="A997" s="1314"/>
      <c r="B997" s="1314"/>
      <c r="C997" s="1301" t="s">
        <v>146</v>
      </c>
      <c r="D997" s="1301" t="s">
        <v>65</v>
      </c>
      <c r="E997" s="1301">
        <v>12</v>
      </c>
      <c r="F997" s="1302" t="s">
        <v>1936</v>
      </c>
      <c r="G997" s="1302"/>
      <c r="H997" s="1323" t="s">
        <v>1959</v>
      </c>
      <c r="I997" s="1326" t="s">
        <v>157</v>
      </c>
      <c r="J997" s="1325" t="s">
        <v>1960</v>
      </c>
      <c r="K997" s="1318">
        <v>1</v>
      </c>
      <c r="L997" s="1319">
        <v>57575733</v>
      </c>
      <c r="M997" s="1320" t="s">
        <v>1961</v>
      </c>
      <c r="N997" s="1319">
        <v>23225000</v>
      </c>
      <c r="O997" s="1320" t="s">
        <v>1962</v>
      </c>
      <c r="P997" s="1319">
        <v>32400000</v>
      </c>
      <c r="Q997" s="1307">
        <f t="shared" si="267"/>
        <v>1.8518518518518516</v>
      </c>
      <c r="R997" s="1319">
        <v>600000</v>
      </c>
      <c r="S997" s="1308"/>
      <c r="T997" s="1319"/>
      <c r="U997" s="1308"/>
      <c r="V997" s="1322"/>
      <c r="W997" s="1314"/>
      <c r="X997" s="1314"/>
      <c r="Y997" s="1309">
        <f t="shared" si="265"/>
        <v>1.8518518518518516</v>
      </c>
      <c r="Z997" s="1305">
        <f t="shared" si="265"/>
        <v>600000</v>
      </c>
      <c r="AA997" s="1310" t="e">
        <f t="shared" si="264"/>
        <v>#VALUE!</v>
      </c>
      <c r="AB997" s="1311">
        <f t="shared" si="264"/>
        <v>23825000</v>
      </c>
      <c r="AC997" s="1312">
        <f t="shared" si="266"/>
        <v>1.8518518518518516</v>
      </c>
      <c r="AD997" s="1313">
        <f t="shared" si="268"/>
        <v>0.41380280820740917</v>
      </c>
      <c r="AE997" s="1314" t="s">
        <v>1938</v>
      </c>
    </row>
    <row r="998" spans="1:31" s="1298" customFormat="1" ht="52.5" customHeight="1">
      <c r="A998" s="1314"/>
      <c r="B998" s="1314"/>
      <c r="C998" s="1301" t="s">
        <v>146</v>
      </c>
      <c r="D998" s="1301" t="s">
        <v>65</v>
      </c>
      <c r="E998" s="1301">
        <v>12</v>
      </c>
      <c r="F998" s="1302" t="s">
        <v>1936</v>
      </c>
      <c r="G998" s="1302"/>
      <c r="H998" s="1323" t="s">
        <v>1963</v>
      </c>
      <c r="I998" s="1329" t="s">
        <v>158</v>
      </c>
      <c r="J998" s="1325" t="s">
        <v>1964</v>
      </c>
      <c r="K998" s="1318">
        <v>1</v>
      </c>
      <c r="L998" s="1319">
        <v>291902400</v>
      </c>
      <c r="M998" s="1327" t="s">
        <v>1965</v>
      </c>
      <c r="N998" s="1319">
        <v>264598823</v>
      </c>
      <c r="O998" s="1310">
        <v>0.55689999999999995</v>
      </c>
      <c r="P998" s="1319">
        <v>98500000</v>
      </c>
      <c r="Q998" s="1307">
        <f t="shared" si="267"/>
        <v>76.402639593908631</v>
      </c>
      <c r="R998" s="1319">
        <v>75256600</v>
      </c>
      <c r="S998" s="1308"/>
      <c r="T998" s="1319"/>
      <c r="U998" s="1308"/>
      <c r="V998" s="1322"/>
      <c r="W998" s="1314"/>
      <c r="X998" s="1314"/>
      <c r="Y998" s="1309">
        <f t="shared" si="265"/>
        <v>76.402639593908631</v>
      </c>
      <c r="Z998" s="1305">
        <f t="shared" si="265"/>
        <v>75256600</v>
      </c>
      <c r="AA998" s="1310" t="e">
        <f t="shared" si="264"/>
        <v>#VALUE!</v>
      </c>
      <c r="AB998" s="1311">
        <f t="shared" si="264"/>
        <v>339855423</v>
      </c>
      <c r="AC998" s="1312">
        <f t="shared" si="266"/>
        <v>76.402639593908631</v>
      </c>
      <c r="AD998" s="1313">
        <f t="shared" si="268"/>
        <v>1.164277590728956</v>
      </c>
      <c r="AE998" s="1314" t="s">
        <v>1938</v>
      </c>
    </row>
    <row r="999" spans="1:31" s="1298" customFormat="1" ht="42" customHeight="1">
      <c r="A999" s="1314"/>
      <c r="B999" s="1314"/>
      <c r="C999" s="1301" t="s">
        <v>146</v>
      </c>
      <c r="D999" s="1301" t="s">
        <v>65</v>
      </c>
      <c r="E999" s="1301">
        <v>12</v>
      </c>
      <c r="F999" s="1302" t="s">
        <v>1936</v>
      </c>
      <c r="G999" s="1302"/>
      <c r="H999" s="1323" t="s">
        <v>1966</v>
      </c>
      <c r="I999" s="1329" t="s">
        <v>159</v>
      </c>
      <c r="J999" s="1325" t="s">
        <v>1967</v>
      </c>
      <c r="K999" s="1318">
        <v>1</v>
      </c>
      <c r="L999" s="1319">
        <v>137271320</v>
      </c>
      <c r="M999" s="1327" t="s">
        <v>1968</v>
      </c>
      <c r="N999" s="1319">
        <v>69274250</v>
      </c>
      <c r="O999" s="1310">
        <v>0.23619999999999999</v>
      </c>
      <c r="P999" s="1319">
        <v>54474000</v>
      </c>
      <c r="Q999" s="1307">
        <f t="shared" si="267"/>
        <v>28.703601718250908</v>
      </c>
      <c r="R999" s="1319">
        <v>15636000</v>
      </c>
      <c r="S999" s="1308"/>
      <c r="T999" s="1319"/>
      <c r="U999" s="1308"/>
      <c r="V999" s="1322"/>
      <c r="W999" s="1314"/>
      <c r="X999" s="1314"/>
      <c r="Y999" s="1309">
        <f t="shared" si="265"/>
        <v>28.703601718250908</v>
      </c>
      <c r="Z999" s="1305">
        <f t="shared" si="265"/>
        <v>15636000</v>
      </c>
      <c r="AA999" s="1310" t="e">
        <f t="shared" si="264"/>
        <v>#VALUE!</v>
      </c>
      <c r="AB999" s="1311">
        <f t="shared" si="264"/>
        <v>84910250</v>
      </c>
      <c r="AC999" s="1312">
        <f t="shared" si="266"/>
        <v>28.703601718250908</v>
      </c>
      <c r="AD999" s="1313">
        <f t="shared" si="268"/>
        <v>0.61855783130809849</v>
      </c>
      <c r="AE999" s="1314" t="s">
        <v>1938</v>
      </c>
    </row>
    <row r="1000" spans="1:31" s="1298" customFormat="1" ht="36" customHeight="1">
      <c r="A1000" s="1314"/>
      <c r="B1000" s="1314"/>
      <c r="C1000" s="1301" t="s">
        <v>146</v>
      </c>
      <c r="D1000" s="1301" t="s">
        <v>65</v>
      </c>
      <c r="E1000" s="1301">
        <v>12</v>
      </c>
      <c r="F1000" s="1302" t="s">
        <v>1936</v>
      </c>
      <c r="G1000" s="1302"/>
      <c r="H1000" s="1323" t="s">
        <v>1969</v>
      </c>
      <c r="I1000" s="1330" t="s">
        <v>1970</v>
      </c>
      <c r="J1000" s="1325" t="s">
        <v>1971</v>
      </c>
      <c r="K1000" s="1318">
        <v>1</v>
      </c>
      <c r="L1000" s="1319">
        <v>50000000</v>
      </c>
      <c r="M1000" s="1310">
        <v>1</v>
      </c>
      <c r="N1000" s="1319">
        <v>39000000</v>
      </c>
      <c r="O1000" s="1310">
        <v>0.2051</v>
      </c>
      <c r="P1000" s="1319">
        <v>0</v>
      </c>
      <c r="Q1000" s="1307" t="e">
        <f t="shared" si="267"/>
        <v>#VALUE!</v>
      </c>
      <c r="R1000" s="1319" t="s">
        <v>154</v>
      </c>
      <c r="S1000" s="1308"/>
      <c r="T1000" s="1319"/>
      <c r="U1000" s="1308"/>
      <c r="V1000" s="1322"/>
      <c r="W1000" s="1314"/>
      <c r="X1000" s="1314"/>
      <c r="Y1000" s="1309" t="e">
        <f t="shared" si="265"/>
        <v>#VALUE!</v>
      </c>
      <c r="Z1000" s="1305" t="str">
        <f t="shared" si="265"/>
        <v>-</v>
      </c>
      <c r="AA1000" s="1310" t="e">
        <f t="shared" si="264"/>
        <v>#VALUE!</v>
      </c>
      <c r="AB1000" s="1311" t="e">
        <f t="shared" si="264"/>
        <v>#VALUE!</v>
      </c>
      <c r="AC1000" s="1312" t="e">
        <f t="shared" si="266"/>
        <v>#VALUE!</v>
      </c>
      <c r="AD1000" s="1313" t="e">
        <f t="shared" si="268"/>
        <v>#VALUE!</v>
      </c>
      <c r="AE1000" s="1314" t="s">
        <v>1938</v>
      </c>
    </row>
    <row r="1001" spans="1:31" s="1298" customFormat="1" ht="39.75" customHeight="1">
      <c r="A1001" s="1314"/>
      <c r="B1001" s="1314"/>
      <c r="C1001" s="1301" t="s">
        <v>146</v>
      </c>
      <c r="D1001" s="1301" t="s">
        <v>65</v>
      </c>
      <c r="E1001" s="1301">
        <v>12</v>
      </c>
      <c r="F1001" s="1302" t="s">
        <v>1936</v>
      </c>
      <c r="G1001" s="1302"/>
      <c r="H1001" s="1323" t="s">
        <v>1972</v>
      </c>
      <c r="I1001" s="1330" t="s">
        <v>168</v>
      </c>
      <c r="J1001" s="1325" t="s">
        <v>1973</v>
      </c>
      <c r="K1001" s="1318">
        <v>0</v>
      </c>
      <c r="L1001" s="1319">
        <v>0</v>
      </c>
      <c r="M1001" s="1310">
        <v>0</v>
      </c>
      <c r="N1001" s="1314"/>
      <c r="O1001" s="1310">
        <v>0</v>
      </c>
      <c r="P1001" s="1319">
        <v>34162734</v>
      </c>
      <c r="Q1001" s="1307" t="e">
        <f t="shared" si="267"/>
        <v>#VALUE!</v>
      </c>
      <c r="R1001" s="1319" t="s">
        <v>154</v>
      </c>
      <c r="S1001" s="1308"/>
      <c r="T1001" s="1319"/>
      <c r="U1001" s="1308"/>
      <c r="V1001" s="1322"/>
      <c r="W1001" s="1314"/>
      <c r="X1001" s="1314"/>
      <c r="Y1001" s="1309" t="e">
        <f t="shared" si="265"/>
        <v>#VALUE!</v>
      </c>
      <c r="Z1001" s="1305" t="str">
        <f t="shared" si="265"/>
        <v>-</v>
      </c>
      <c r="AA1001" s="1310" t="e">
        <f t="shared" si="264"/>
        <v>#VALUE!</v>
      </c>
      <c r="AB1001" s="1311" t="e">
        <f t="shared" si="264"/>
        <v>#VALUE!</v>
      </c>
      <c r="AC1001" s="1312" t="e">
        <f t="shared" si="266"/>
        <v>#VALUE!</v>
      </c>
      <c r="AD1001" s="1313" t="e">
        <f t="shared" si="268"/>
        <v>#VALUE!</v>
      </c>
      <c r="AE1001" s="1314" t="s">
        <v>1938</v>
      </c>
    </row>
    <row r="1002" spans="1:31" s="1298" customFormat="1" ht="22.5" customHeight="1">
      <c r="A1002" s="1314"/>
      <c r="B1002" s="1314"/>
      <c r="C1002" s="1315"/>
      <c r="D1002" s="1315"/>
      <c r="E1002" s="1315"/>
      <c r="F1002" s="1315"/>
      <c r="G1002" s="1315"/>
      <c r="H1002" s="1323"/>
      <c r="I1002" s="1331"/>
      <c r="J1002" s="1332"/>
      <c r="K1002" s="1314"/>
      <c r="L1002" s="1319"/>
      <c r="M1002" s="1314"/>
      <c r="N1002" s="1322"/>
      <c r="O1002" s="1314"/>
      <c r="P1002" s="1319"/>
      <c r="Q1002" s="1307"/>
      <c r="R1002" s="1319"/>
      <c r="S1002" s="1314"/>
      <c r="T1002" s="1314"/>
      <c r="U1002" s="1314"/>
      <c r="V1002" s="1314"/>
      <c r="W1002" s="1314"/>
      <c r="X1002" s="1314"/>
      <c r="Y1002" s="1309"/>
      <c r="Z1002" s="1305"/>
      <c r="AA1002" s="1310"/>
      <c r="AB1002" s="1311"/>
      <c r="AC1002" s="1312"/>
      <c r="AD1002" s="1313"/>
      <c r="AE1002" s="1314"/>
    </row>
    <row r="1003" spans="1:31" s="1297" customFormat="1" ht="53.25" customHeight="1">
      <c r="A1003" s="1300"/>
      <c r="B1003" s="1300" t="s">
        <v>1974</v>
      </c>
      <c r="C1003" s="1301" t="s">
        <v>146</v>
      </c>
      <c r="D1003" s="1301" t="s">
        <v>65</v>
      </c>
      <c r="E1003" s="1301" t="s">
        <v>160</v>
      </c>
      <c r="F1003" s="1301" t="s">
        <v>161</v>
      </c>
      <c r="G1003" s="1301"/>
      <c r="H1003" s="1302"/>
      <c r="I1003" s="1333" t="s">
        <v>1222</v>
      </c>
      <c r="J1003" s="1300"/>
      <c r="K1003" s="1304">
        <v>1</v>
      </c>
      <c r="L1003" s="1322">
        <f>+L1004</f>
        <v>75000000</v>
      </c>
      <c r="M1003" s="1334">
        <v>0.98740000000000006</v>
      </c>
      <c r="N1003" s="1322">
        <f>+N1004</f>
        <v>44431364</v>
      </c>
      <c r="O1003" s="1334">
        <v>0.16220000000000001</v>
      </c>
      <c r="P1003" s="1322">
        <f>+P1004</f>
        <v>0</v>
      </c>
      <c r="Q1003" s="1307" t="e">
        <f t="shared" si="267"/>
        <v>#DIV/0!</v>
      </c>
      <c r="R1003" s="1322">
        <v>0</v>
      </c>
      <c r="S1003" s="1308"/>
      <c r="T1003" s="1322"/>
      <c r="U1003" s="1308"/>
      <c r="V1003" s="1322"/>
      <c r="W1003" s="1300"/>
      <c r="X1003" s="1300"/>
      <c r="Y1003" s="1309" t="e">
        <f t="shared" si="265"/>
        <v>#DIV/0!</v>
      </c>
      <c r="Z1003" s="1305">
        <f t="shared" si="265"/>
        <v>0</v>
      </c>
      <c r="AA1003" s="1310" t="e">
        <f t="shared" si="264"/>
        <v>#DIV/0!</v>
      </c>
      <c r="AB1003" s="1311">
        <f t="shared" si="264"/>
        <v>44431364</v>
      </c>
      <c r="AC1003" s="1312" t="e">
        <f t="shared" si="266"/>
        <v>#DIV/0!</v>
      </c>
      <c r="AD1003" s="1313">
        <f t="shared" si="268"/>
        <v>0.59241818666666668</v>
      </c>
      <c r="AE1003" s="1314" t="s">
        <v>1938</v>
      </c>
    </row>
    <row r="1004" spans="1:31" s="1298" customFormat="1" ht="44.25" customHeight="1">
      <c r="A1004" s="1314"/>
      <c r="B1004" s="1314"/>
      <c r="C1004" s="1301" t="s">
        <v>146</v>
      </c>
      <c r="D1004" s="1301" t="s">
        <v>65</v>
      </c>
      <c r="E1004" s="1301">
        <v>12</v>
      </c>
      <c r="F1004" s="1301" t="s">
        <v>161</v>
      </c>
      <c r="G1004" s="1301"/>
      <c r="H1004" s="1315" t="s">
        <v>66</v>
      </c>
      <c r="I1004" s="1333" t="s">
        <v>1224</v>
      </c>
      <c r="J1004" s="1314" t="s">
        <v>1975</v>
      </c>
      <c r="K1004" s="1318">
        <v>1</v>
      </c>
      <c r="L1004" s="1319">
        <v>75000000</v>
      </c>
      <c r="M1004" s="1310">
        <v>0.98740000000000006</v>
      </c>
      <c r="N1004" s="1319">
        <v>44431364</v>
      </c>
      <c r="O1004" s="1310">
        <v>0.16220000000000001</v>
      </c>
      <c r="P1004" s="1319">
        <v>0</v>
      </c>
      <c r="Q1004" s="1307" t="e">
        <f t="shared" si="267"/>
        <v>#DIV/0!</v>
      </c>
      <c r="R1004" s="1319">
        <v>0</v>
      </c>
      <c r="S1004" s="1308"/>
      <c r="T1004" s="1314"/>
      <c r="U1004" s="1308"/>
      <c r="V1004" s="1319"/>
      <c r="W1004" s="1314"/>
      <c r="X1004" s="1314"/>
      <c r="Y1004" s="1309" t="e">
        <f t="shared" si="265"/>
        <v>#DIV/0!</v>
      </c>
      <c r="Z1004" s="1305">
        <f t="shared" si="265"/>
        <v>0</v>
      </c>
      <c r="AA1004" s="1310" t="e">
        <f t="shared" si="264"/>
        <v>#DIV/0!</v>
      </c>
      <c r="AB1004" s="1311">
        <f t="shared" si="264"/>
        <v>44431364</v>
      </c>
      <c r="AC1004" s="1312" t="e">
        <f t="shared" si="266"/>
        <v>#DIV/0!</v>
      </c>
      <c r="AD1004" s="1313">
        <f t="shared" si="268"/>
        <v>0.59241818666666668</v>
      </c>
      <c r="AE1004" s="1314" t="s">
        <v>1938</v>
      </c>
    </row>
    <row r="1005" spans="1:31" s="1298" customFormat="1" ht="14.25">
      <c r="A1005" s="1314"/>
      <c r="B1005" s="1314"/>
      <c r="C1005" s="1323"/>
      <c r="D1005" s="1323"/>
      <c r="E1005" s="1323"/>
      <c r="F1005" s="1323"/>
      <c r="G1005" s="1323"/>
      <c r="H1005" s="1323"/>
      <c r="I1005" s="1335"/>
      <c r="J1005" s="1314"/>
      <c r="K1005" s="1314"/>
      <c r="L1005" s="1319"/>
      <c r="M1005" s="1314"/>
      <c r="N1005" s="1322"/>
      <c r="O1005" s="1314"/>
      <c r="P1005" s="1319"/>
      <c r="Q1005" s="1307"/>
      <c r="R1005" s="1319"/>
      <c r="S1005" s="1314"/>
      <c r="T1005" s="1314"/>
      <c r="U1005" s="1314"/>
      <c r="V1005" s="1314"/>
      <c r="W1005" s="1314"/>
      <c r="X1005" s="1314"/>
      <c r="Y1005" s="1309"/>
      <c r="Z1005" s="1305"/>
      <c r="AA1005" s="1310"/>
      <c r="AB1005" s="1311"/>
      <c r="AC1005" s="1312"/>
      <c r="AD1005" s="1313"/>
      <c r="AE1005" s="1314"/>
    </row>
    <row r="1006" spans="1:31" s="1297" customFormat="1" ht="51.75" customHeight="1">
      <c r="A1006" s="1300"/>
      <c r="B1006" s="1300" t="s">
        <v>1976</v>
      </c>
      <c r="C1006" s="1301" t="s">
        <v>146</v>
      </c>
      <c r="D1006" s="1301" t="s">
        <v>65</v>
      </c>
      <c r="E1006" s="1301" t="s">
        <v>65</v>
      </c>
      <c r="F1006" s="1302"/>
      <c r="G1006" s="1302"/>
      <c r="H1006" s="1302"/>
      <c r="I1006" s="1336" t="s">
        <v>162</v>
      </c>
      <c r="J1006" s="1300"/>
      <c r="K1006" s="1304">
        <v>1</v>
      </c>
      <c r="L1006" s="1322">
        <f>SUM(L1007:L1010)</f>
        <v>1123008791</v>
      </c>
      <c r="M1006" s="1337" t="s">
        <v>1977</v>
      </c>
      <c r="N1006" s="1322">
        <f>SUM(N1007:N1010)</f>
        <v>353540486</v>
      </c>
      <c r="O1006" s="1337" t="s">
        <v>1978</v>
      </c>
      <c r="P1006" s="1322">
        <f>SUM(P1007:P1010)</f>
        <v>345633600</v>
      </c>
      <c r="Q1006" s="1307">
        <f t="shared" si="267"/>
        <v>1.3797848357335629</v>
      </c>
      <c r="R1006" s="1322">
        <f>SUM(R1007:R1010)</f>
        <v>4769000</v>
      </c>
      <c r="S1006" s="1308"/>
      <c r="T1006" s="1322"/>
      <c r="U1006" s="1308"/>
      <c r="V1006" s="1322"/>
      <c r="W1006" s="1300"/>
      <c r="X1006" s="1300"/>
      <c r="Y1006" s="1309">
        <f t="shared" si="265"/>
        <v>1.3797848357335629</v>
      </c>
      <c r="Z1006" s="1305">
        <f t="shared" si="265"/>
        <v>4769000</v>
      </c>
      <c r="AA1006" s="1310" t="e">
        <f t="shared" si="264"/>
        <v>#VALUE!</v>
      </c>
      <c r="AB1006" s="1311">
        <f t="shared" si="264"/>
        <v>358309486</v>
      </c>
      <c r="AC1006" s="1312">
        <f t="shared" si="266"/>
        <v>1.3797848357335629</v>
      </c>
      <c r="AD1006" s="1313">
        <f t="shared" si="268"/>
        <v>0.31906204908773506</v>
      </c>
      <c r="AE1006" s="1314" t="s">
        <v>1938</v>
      </c>
    </row>
    <row r="1007" spans="1:31" s="1298" customFormat="1" ht="30.75" customHeight="1">
      <c r="A1007" s="1314"/>
      <c r="B1007" s="1314"/>
      <c r="C1007" s="1315" t="s">
        <v>146</v>
      </c>
      <c r="D1007" s="1315" t="s">
        <v>65</v>
      </c>
      <c r="E1007" s="1315">
        <v>12</v>
      </c>
      <c r="F1007" s="1315" t="s">
        <v>65</v>
      </c>
      <c r="G1007" s="1315"/>
      <c r="H1007" s="1315" t="s">
        <v>163</v>
      </c>
      <c r="I1007" s="1333" t="s">
        <v>1979</v>
      </c>
      <c r="J1007" s="1314" t="s">
        <v>1980</v>
      </c>
      <c r="K1007" s="1318">
        <v>1</v>
      </c>
      <c r="L1007" s="1319">
        <v>43234500</v>
      </c>
      <c r="M1007" s="1320" t="s">
        <v>1981</v>
      </c>
      <c r="N1007" s="1319">
        <v>20799000</v>
      </c>
      <c r="O1007" s="1314"/>
      <c r="P1007" s="1319">
        <v>97250000</v>
      </c>
      <c r="Q1007" s="1307">
        <f t="shared" si="267"/>
        <v>0</v>
      </c>
      <c r="R1007" s="1319"/>
      <c r="S1007" s="1308"/>
      <c r="T1007" s="1319"/>
      <c r="U1007" s="1308"/>
      <c r="V1007" s="1319"/>
      <c r="W1007" s="1314"/>
      <c r="X1007" s="1314"/>
      <c r="Y1007" s="1309">
        <f t="shared" si="265"/>
        <v>0</v>
      </c>
      <c r="Z1007" s="1305">
        <f t="shared" si="265"/>
        <v>0</v>
      </c>
      <c r="AA1007" s="1310" t="e">
        <f t="shared" si="264"/>
        <v>#VALUE!</v>
      </c>
      <c r="AB1007" s="1311">
        <f t="shared" si="264"/>
        <v>20799000</v>
      </c>
      <c r="AC1007" s="1312">
        <f t="shared" si="266"/>
        <v>0</v>
      </c>
      <c r="AD1007" s="1313">
        <f t="shared" si="268"/>
        <v>0.48107414217812167</v>
      </c>
      <c r="AE1007" s="1314" t="s">
        <v>1938</v>
      </c>
    </row>
    <row r="1008" spans="1:31" s="1298" customFormat="1" ht="36" customHeight="1">
      <c r="A1008" s="1314"/>
      <c r="B1008" s="1314"/>
      <c r="C1008" s="1315" t="s">
        <v>146</v>
      </c>
      <c r="D1008" s="1315" t="s">
        <v>65</v>
      </c>
      <c r="E1008" s="1315">
        <v>12</v>
      </c>
      <c r="F1008" s="1315" t="s">
        <v>65</v>
      </c>
      <c r="G1008" s="1315"/>
      <c r="H1008" s="1315"/>
      <c r="I1008" s="1333" t="s">
        <v>1982</v>
      </c>
      <c r="J1008" s="1314" t="s">
        <v>1983</v>
      </c>
      <c r="K1008" s="1318">
        <v>1</v>
      </c>
      <c r="L1008" s="1319">
        <v>500000000</v>
      </c>
      <c r="M1008" s="1310">
        <v>0.83760000000000001</v>
      </c>
      <c r="N1008" s="1319">
        <v>185210000</v>
      </c>
      <c r="O1008" s="1314"/>
      <c r="P1008" s="1319">
        <v>27750000</v>
      </c>
      <c r="Q1008" s="1307">
        <f t="shared" si="267"/>
        <v>0</v>
      </c>
      <c r="R1008" s="1319">
        <v>0</v>
      </c>
      <c r="S1008" s="1308"/>
      <c r="T1008" s="1319"/>
      <c r="U1008" s="1308"/>
      <c r="V1008" s="1319"/>
      <c r="W1008" s="1314"/>
      <c r="X1008" s="1314"/>
      <c r="Y1008" s="1309">
        <f t="shared" si="265"/>
        <v>0</v>
      </c>
      <c r="Z1008" s="1305">
        <f t="shared" si="265"/>
        <v>0</v>
      </c>
      <c r="AA1008" s="1310">
        <f t="shared" si="264"/>
        <v>0.83760000000000001</v>
      </c>
      <c r="AB1008" s="1311">
        <f t="shared" si="264"/>
        <v>185210000</v>
      </c>
      <c r="AC1008" s="1312">
        <f t="shared" si="266"/>
        <v>0</v>
      </c>
      <c r="AD1008" s="1313">
        <f t="shared" si="268"/>
        <v>0.37042000000000003</v>
      </c>
      <c r="AE1008" s="1314" t="s">
        <v>1938</v>
      </c>
    </row>
    <row r="1009" spans="1:31" s="1298" customFormat="1" ht="36" customHeight="1">
      <c r="A1009" s="1314"/>
      <c r="B1009" s="1314"/>
      <c r="C1009" s="1315" t="s">
        <v>146</v>
      </c>
      <c r="D1009" s="1315" t="s">
        <v>65</v>
      </c>
      <c r="E1009" s="1315">
        <v>12</v>
      </c>
      <c r="F1009" s="1315" t="s">
        <v>65</v>
      </c>
      <c r="G1009" s="1315"/>
      <c r="H1009" s="1315" t="s">
        <v>164</v>
      </c>
      <c r="I1009" s="1333" t="s">
        <v>1465</v>
      </c>
      <c r="J1009" s="1314" t="s">
        <v>1984</v>
      </c>
      <c r="K1009" s="1318">
        <v>1</v>
      </c>
      <c r="L1009" s="1319">
        <v>458900000</v>
      </c>
      <c r="M1009" s="1318">
        <v>1</v>
      </c>
      <c r="N1009" s="1319">
        <v>101294000</v>
      </c>
      <c r="O1009" s="1314"/>
      <c r="P1009" s="1319">
        <v>165458600</v>
      </c>
      <c r="Q1009" s="1307">
        <f t="shared" si="267"/>
        <v>0</v>
      </c>
      <c r="R1009" s="1319"/>
      <c r="S1009" s="1308"/>
      <c r="T1009" s="1319"/>
      <c r="U1009" s="1308"/>
      <c r="V1009" s="1319"/>
      <c r="W1009" s="1314"/>
      <c r="X1009" s="1314"/>
      <c r="Y1009" s="1309">
        <f t="shared" si="265"/>
        <v>0</v>
      </c>
      <c r="Z1009" s="1305">
        <f t="shared" si="265"/>
        <v>0</v>
      </c>
      <c r="AA1009" s="1310">
        <f t="shared" si="264"/>
        <v>1</v>
      </c>
      <c r="AB1009" s="1311">
        <f t="shared" si="264"/>
        <v>101294000</v>
      </c>
      <c r="AC1009" s="1312">
        <f t="shared" si="266"/>
        <v>0</v>
      </c>
      <c r="AD1009" s="1313">
        <f t="shared" si="268"/>
        <v>0.22073218566136413</v>
      </c>
      <c r="AE1009" s="1314" t="s">
        <v>1938</v>
      </c>
    </row>
    <row r="1010" spans="1:31" s="1298" customFormat="1" ht="42.75" customHeight="1">
      <c r="A1010" s="1314"/>
      <c r="B1010" s="1314"/>
      <c r="C1010" s="1315" t="s">
        <v>146</v>
      </c>
      <c r="D1010" s="1315" t="s">
        <v>65</v>
      </c>
      <c r="E1010" s="1315">
        <v>12</v>
      </c>
      <c r="F1010" s="1315" t="s">
        <v>65</v>
      </c>
      <c r="G1010" s="1315"/>
      <c r="H1010" s="1315" t="s">
        <v>165</v>
      </c>
      <c r="I1010" s="1333" t="s">
        <v>1216</v>
      </c>
      <c r="J1010" s="1314" t="s">
        <v>1985</v>
      </c>
      <c r="K1010" s="1318">
        <v>1</v>
      </c>
      <c r="L1010" s="1319">
        <v>120874291</v>
      </c>
      <c r="M1010" s="1327">
        <v>0.83760000000000001</v>
      </c>
      <c r="N1010" s="1319">
        <v>46237486</v>
      </c>
      <c r="O1010" s="1320" t="s">
        <v>1978</v>
      </c>
      <c r="P1010" s="1319">
        <v>55175000</v>
      </c>
      <c r="Q1010" s="1307">
        <f t="shared" si="267"/>
        <v>8.6434073402809251</v>
      </c>
      <c r="R1010" s="1319">
        <v>4769000</v>
      </c>
      <c r="S1010" s="1308"/>
      <c r="T1010" s="1319"/>
      <c r="U1010" s="1308"/>
      <c r="V1010" s="1319"/>
      <c r="W1010" s="1314"/>
      <c r="X1010" s="1314"/>
      <c r="Y1010" s="1309">
        <f t="shared" si="265"/>
        <v>8.6434073402809251</v>
      </c>
      <c r="Z1010" s="1305">
        <f t="shared" si="265"/>
        <v>4769000</v>
      </c>
      <c r="AA1010" s="1310">
        <f t="shared" si="264"/>
        <v>9.4810073402809252</v>
      </c>
      <c r="AB1010" s="1311">
        <f t="shared" si="264"/>
        <v>51006486</v>
      </c>
      <c r="AC1010" s="1312">
        <f t="shared" si="266"/>
        <v>8.6434073402809251</v>
      </c>
      <c r="AD1010" s="1313">
        <f t="shared" si="268"/>
        <v>0.42197960855050642</v>
      </c>
      <c r="AE1010" s="1314" t="s">
        <v>1938</v>
      </c>
    </row>
    <row r="1011" spans="1:31" s="1297" customFormat="1" ht="62.25" customHeight="1">
      <c r="A1011" s="1300"/>
      <c r="B1011" s="1300" t="s">
        <v>1986</v>
      </c>
      <c r="C1011" s="1301" t="s">
        <v>146</v>
      </c>
      <c r="D1011" s="1301" t="s">
        <v>65</v>
      </c>
      <c r="E1011" s="1301" t="s">
        <v>160</v>
      </c>
      <c r="F1011" s="1301" t="s">
        <v>155</v>
      </c>
      <c r="G1011" s="1301"/>
      <c r="H1011" s="1302"/>
      <c r="I1011" s="1338" t="s">
        <v>1987</v>
      </c>
      <c r="J1011" s="1339"/>
      <c r="K1011" s="1304">
        <v>0.9</v>
      </c>
      <c r="L1011" s="1322"/>
      <c r="M1011" s="1310">
        <v>0.99619999999999997</v>
      </c>
      <c r="N1011" s="1322">
        <f>SUM(N1012:N1013)</f>
        <v>305204727</v>
      </c>
      <c r="O1011" s="1314"/>
      <c r="P1011" s="1322">
        <f>SUM(P1012:P1013)</f>
        <v>270185500</v>
      </c>
      <c r="Q1011" s="1307">
        <f t="shared" si="267"/>
        <v>10.366286125643308</v>
      </c>
      <c r="R1011" s="1322">
        <f>SUM(R1012:R1013)</f>
        <v>28008202</v>
      </c>
      <c r="S1011" s="1308"/>
      <c r="T1011" s="1322"/>
      <c r="U1011" s="1308"/>
      <c r="V1011" s="1322"/>
      <c r="W1011" s="1300"/>
      <c r="X1011" s="1300"/>
      <c r="Y1011" s="1309">
        <f t="shared" si="265"/>
        <v>10.366286125643308</v>
      </c>
      <c r="Z1011" s="1305">
        <f t="shared" si="265"/>
        <v>28008202</v>
      </c>
      <c r="AA1011" s="1310">
        <f t="shared" si="264"/>
        <v>11.362486125643308</v>
      </c>
      <c r="AB1011" s="1311">
        <f t="shared" si="264"/>
        <v>333212929</v>
      </c>
      <c r="AC1011" s="1312">
        <f t="shared" si="266"/>
        <v>10.366286125643308</v>
      </c>
      <c r="AD1011" s="1313" t="e">
        <f t="shared" si="268"/>
        <v>#DIV/0!</v>
      </c>
      <c r="AE1011" s="1314" t="s">
        <v>1938</v>
      </c>
    </row>
    <row r="1012" spans="1:31" s="1298" customFormat="1" ht="49.5" customHeight="1">
      <c r="A1012" s="1314"/>
      <c r="B1012" s="1314"/>
      <c r="C1012" s="1315" t="s">
        <v>146</v>
      </c>
      <c r="D1012" s="1315" t="s">
        <v>65</v>
      </c>
      <c r="E1012" s="1315">
        <v>12</v>
      </c>
      <c r="F1012" s="1315" t="s">
        <v>155</v>
      </c>
      <c r="G1012" s="1315"/>
      <c r="H1012" s="1315" t="s">
        <v>146</v>
      </c>
      <c r="I1012" s="1340" t="s">
        <v>1988</v>
      </c>
      <c r="J1012" s="1314" t="s">
        <v>1989</v>
      </c>
      <c r="K1012" s="1318">
        <v>0.9</v>
      </c>
      <c r="L1012" s="1319">
        <v>806063750</v>
      </c>
      <c r="M1012" s="1320" t="s">
        <v>1990</v>
      </c>
      <c r="N1012" s="1319">
        <v>229847323</v>
      </c>
      <c r="O1012" s="1314" t="s">
        <v>1991</v>
      </c>
      <c r="P1012" s="1319">
        <v>213038100</v>
      </c>
      <c r="Q1012" s="1307">
        <f t="shared" si="267"/>
        <v>10.865287476747117</v>
      </c>
      <c r="R1012" s="1319">
        <v>23147202</v>
      </c>
      <c r="S1012" s="1308"/>
      <c r="T1012" s="1319"/>
      <c r="U1012" s="1308"/>
      <c r="V1012" s="1319"/>
      <c r="W1012" s="1314"/>
      <c r="X1012" s="1314"/>
      <c r="Y1012" s="1309">
        <f t="shared" si="265"/>
        <v>10.865287476747117</v>
      </c>
      <c r="Z1012" s="1305">
        <f t="shared" si="265"/>
        <v>23147202</v>
      </c>
      <c r="AA1012" s="1310" t="e">
        <f t="shared" si="264"/>
        <v>#VALUE!</v>
      </c>
      <c r="AB1012" s="1311">
        <f t="shared" si="264"/>
        <v>252994525</v>
      </c>
      <c r="AC1012" s="1312">
        <f t="shared" si="266"/>
        <v>10.865287476747117</v>
      </c>
      <c r="AD1012" s="1313">
        <f t="shared" si="268"/>
        <v>0.31386416396966121</v>
      </c>
      <c r="AE1012" s="1314" t="s">
        <v>1938</v>
      </c>
    </row>
    <row r="1013" spans="1:31" s="1298" customFormat="1" ht="54" customHeight="1">
      <c r="A1013" s="1314"/>
      <c r="B1013" s="1314"/>
      <c r="C1013" s="1315" t="s">
        <v>146</v>
      </c>
      <c r="D1013" s="1315" t="s">
        <v>65</v>
      </c>
      <c r="E1013" s="1315">
        <v>12</v>
      </c>
      <c r="F1013" s="1315" t="s">
        <v>155</v>
      </c>
      <c r="G1013" s="1315"/>
      <c r="H1013" s="1315" t="s">
        <v>146</v>
      </c>
      <c r="I1013" s="1341" t="s">
        <v>1992</v>
      </c>
      <c r="J1013" s="1323" t="s">
        <v>1993</v>
      </c>
      <c r="K1013" s="1318">
        <v>0.9</v>
      </c>
      <c r="L1013" s="1319">
        <v>0</v>
      </c>
      <c r="M1013" s="1320" t="s">
        <v>1994</v>
      </c>
      <c r="N1013" s="1319">
        <v>75357404</v>
      </c>
      <c r="O1013" s="1314" t="s">
        <v>1995</v>
      </c>
      <c r="P1013" s="1319">
        <v>57147400</v>
      </c>
      <c r="Q1013" s="1307">
        <f t="shared" si="267"/>
        <v>8.5060737671355113</v>
      </c>
      <c r="R1013" s="1319">
        <v>4861000</v>
      </c>
      <c r="S1013" s="1308"/>
      <c r="T1013" s="1319"/>
      <c r="U1013" s="1308"/>
      <c r="V1013" s="1319"/>
      <c r="W1013" s="1314"/>
      <c r="X1013" s="1314"/>
      <c r="Y1013" s="1309">
        <f t="shared" si="265"/>
        <v>8.5060737671355113</v>
      </c>
      <c r="Z1013" s="1305">
        <f t="shared" si="265"/>
        <v>4861000</v>
      </c>
      <c r="AA1013" s="1310" t="e">
        <f t="shared" si="264"/>
        <v>#VALUE!</v>
      </c>
      <c r="AB1013" s="1311">
        <f t="shared" si="264"/>
        <v>80218404</v>
      </c>
      <c r="AC1013" s="1312">
        <f t="shared" si="266"/>
        <v>8.5060737671355113</v>
      </c>
      <c r="AD1013" s="1313" t="e">
        <f t="shared" si="268"/>
        <v>#DIV/0!</v>
      </c>
      <c r="AE1013" s="1314" t="s">
        <v>1938</v>
      </c>
    </row>
    <row r="1014" spans="1:31" s="1298" customFormat="1" ht="22.5" customHeight="1">
      <c r="A1014" s="1314"/>
      <c r="B1014" s="1314"/>
      <c r="C1014" s="1323"/>
      <c r="D1014" s="1323"/>
      <c r="E1014" s="1323"/>
      <c r="F1014" s="1323"/>
      <c r="G1014" s="1323"/>
      <c r="H1014" s="1323"/>
      <c r="I1014" s="1342"/>
      <c r="J1014" s="1343"/>
      <c r="K1014" s="1314"/>
      <c r="L1014" s="1319"/>
      <c r="M1014" s="1314"/>
      <c r="N1014" s="1322"/>
      <c r="O1014" s="1314"/>
      <c r="P1014" s="1319"/>
      <c r="Q1014" s="1307"/>
      <c r="R1014" s="1319"/>
      <c r="S1014" s="1308"/>
      <c r="T1014" s="1314"/>
      <c r="U1014" s="1308"/>
      <c r="V1014" s="1314"/>
      <c r="W1014" s="1314"/>
      <c r="X1014" s="1314"/>
      <c r="Y1014" s="1309"/>
      <c r="Z1014" s="1305"/>
      <c r="AA1014" s="1310"/>
      <c r="AB1014" s="1311"/>
      <c r="AC1014" s="1312"/>
      <c r="AD1014" s="1313"/>
      <c r="AE1014" s="1314"/>
    </row>
    <row r="1015" spans="1:31" s="1297" customFormat="1" ht="63.75" customHeight="1">
      <c r="A1015" s="1300"/>
      <c r="B1015" s="1300" t="s">
        <v>1996</v>
      </c>
      <c r="C1015" s="1301" t="s">
        <v>146</v>
      </c>
      <c r="D1015" s="1301" t="s">
        <v>65</v>
      </c>
      <c r="E1015" s="1301" t="s">
        <v>160</v>
      </c>
      <c r="F1015" s="1301" t="s">
        <v>166</v>
      </c>
      <c r="G1015" s="1301"/>
      <c r="H1015" s="1302"/>
      <c r="I1015" s="1344" t="s">
        <v>1997</v>
      </c>
      <c r="J1015" s="1345"/>
      <c r="K1015" s="1318">
        <v>0.9</v>
      </c>
      <c r="L1015" s="1322"/>
      <c r="M1015" s="1346">
        <v>0.94420000000000004</v>
      </c>
      <c r="N1015" s="1322">
        <f>SUM(N1016:N1027)</f>
        <v>305240441</v>
      </c>
      <c r="O1015" s="1346" t="s">
        <v>1998</v>
      </c>
      <c r="P1015" s="1322">
        <f>SUM(P1016:P1027)</f>
        <v>253817571</v>
      </c>
      <c r="Q1015" s="1307">
        <f t="shared" si="267"/>
        <v>14.463675566416953</v>
      </c>
      <c r="R1015" s="1322">
        <f>SUM(R1016:R1027)</f>
        <v>36711350</v>
      </c>
      <c r="S1015" s="1308"/>
      <c r="T1015" s="1322"/>
      <c r="U1015" s="1308"/>
      <c r="V1015" s="1322"/>
      <c r="W1015" s="1300"/>
      <c r="X1015" s="1300"/>
      <c r="Y1015" s="1309">
        <f t="shared" si="265"/>
        <v>14.463675566416953</v>
      </c>
      <c r="Z1015" s="1305">
        <f t="shared" si="265"/>
        <v>36711350</v>
      </c>
      <c r="AA1015" s="1310">
        <f t="shared" si="264"/>
        <v>15.407875566416953</v>
      </c>
      <c r="AB1015" s="1311">
        <f t="shared" si="264"/>
        <v>341951791</v>
      </c>
      <c r="AC1015" s="1312">
        <f t="shared" si="266"/>
        <v>14.463675566416953</v>
      </c>
      <c r="AD1015" s="1313" t="e">
        <f t="shared" si="268"/>
        <v>#DIV/0!</v>
      </c>
      <c r="AE1015" s="1314" t="s">
        <v>1938</v>
      </c>
    </row>
    <row r="1016" spans="1:31" s="1298" customFormat="1" ht="54" customHeight="1">
      <c r="A1016" s="1314"/>
      <c r="B1016" s="1314"/>
      <c r="C1016" s="1315" t="s">
        <v>146</v>
      </c>
      <c r="D1016" s="1315" t="s">
        <v>65</v>
      </c>
      <c r="E1016" s="1315">
        <v>12</v>
      </c>
      <c r="F1016" s="1315" t="s">
        <v>166</v>
      </c>
      <c r="G1016" s="1315"/>
      <c r="H1016" s="1315" t="s">
        <v>146</v>
      </c>
      <c r="I1016" s="1347" t="s">
        <v>1999</v>
      </c>
      <c r="J1016" s="1348" t="s">
        <v>2000</v>
      </c>
      <c r="K1016" s="1318">
        <v>0.9</v>
      </c>
      <c r="L1016" s="1319">
        <v>59895000</v>
      </c>
      <c r="M1016" s="1327" t="s">
        <v>2001</v>
      </c>
      <c r="N1016" s="1319">
        <v>27085500</v>
      </c>
      <c r="O1016" s="1310">
        <v>0.32819999999999999</v>
      </c>
      <c r="P1016" s="1319">
        <v>27962500</v>
      </c>
      <c r="Q1016" s="1307">
        <f t="shared" si="267"/>
        <v>16.512293249888245</v>
      </c>
      <c r="R1016" s="1319">
        <v>4617250</v>
      </c>
      <c r="S1016" s="1308"/>
      <c r="T1016" s="1319"/>
      <c r="U1016" s="1308"/>
      <c r="V1016" s="1319"/>
      <c r="W1016" s="1314"/>
      <c r="X1016" s="1314"/>
      <c r="Y1016" s="1309">
        <f t="shared" si="265"/>
        <v>16.512293249888245</v>
      </c>
      <c r="Z1016" s="1305">
        <f t="shared" si="265"/>
        <v>4617250</v>
      </c>
      <c r="AA1016" s="1310" t="e">
        <f t="shared" si="264"/>
        <v>#VALUE!</v>
      </c>
      <c r="AB1016" s="1311">
        <f t="shared" si="264"/>
        <v>31702750</v>
      </c>
      <c r="AC1016" s="1312">
        <f t="shared" si="266"/>
        <v>16.512293249888245</v>
      </c>
      <c r="AD1016" s="1313">
        <f t="shared" si="268"/>
        <v>0.5293054512062777</v>
      </c>
      <c r="AE1016" s="1314" t="s">
        <v>1938</v>
      </c>
    </row>
    <row r="1017" spans="1:31" s="1298" customFormat="1" ht="54.75" customHeight="1">
      <c r="A1017" s="1314"/>
      <c r="B1017" s="1314"/>
      <c r="C1017" s="1315" t="s">
        <v>146</v>
      </c>
      <c r="D1017" s="1315" t="s">
        <v>65</v>
      </c>
      <c r="E1017" s="1315">
        <v>12</v>
      </c>
      <c r="F1017" s="1315" t="s">
        <v>166</v>
      </c>
      <c r="G1017" s="1315"/>
      <c r="H1017" s="1315" t="s">
        <v>146</v>
      </c>
      <c r="I1017" s="1347" t="s">
        <v>2002</v>
      </c>
      <c r="J1017" s="1348" t="s">
        <v>2003</v>
      </c>
      <c r="K1017" s="1318">
        <v>0.9</v>
      </c>
      <c r="L1017" s="1319">
        <v>122515607</v>
      </c>
      <c r="M1017" s="1320" t="s">
        <v>2004</v>
      </c>
      <c r="N1017" s="1319">
        <v>55636500</v>
      </c>
      <c r="O1017" s="1314" t="s">
        <v>2005</v>
      </c>
      <c r="P1017" s="1349">
        <v>53198000</v>
      </c>
      <c r="Q1017" s="1307">
        <f t="shared" si="267"/>
        <v>21.323545997969848</v>
      </c>
      <c r="R1017" s="1319">
        <v>11343700</v>
      </c>
      <c r="S1017" s="1308"/>
      <c r="T1017" s="1319"/>
      <c r="U1017" s="1308"/>
      <c r="V1017" s="1319"/>
      <c r="W1017" s="1314"/>
      <c r="X1017" s="1314"/>
      <c r="Y1017" s="1309">
        <f t="shared" si="265"/>
        <v>21.323545997969848</v>
      </c>
      <c r="Z1017" s="1305">
        <f t="shared" si="265"/>
        <v>11343700</v>
      </c>
      <c r="AA1017" s="1310" t="e">
        <f t="shared" si="264"/>
        <v>#VALUE!</v>
      </c>
      <c r="AB1017" s="1311">
        <f t="shared" si="264"/>
        <v>66980200</v>
      </c>
      <c r="AC1017" s="1312">
        <f t="shared" si="266"/>
        <v>21.323545997969848</v>
      </c>
      <c r="AD1017" s="1313">
        <f t="shared" si="268"/>
        <v>0.54670749009144604</v>
      </c>
      <c r="AE1017" s="1314" t="s">
        <v>1938</v>
      </c>
    </row>
    <row r="1018" spans="1:31" s="1298" customFormat="1" ht="45.75" customHeight="1">
      <c r="A1018" s="1314"/>
      <c r="B1018" s="1314"/>
      <c r="C1018" s="1315" t="s">
        <v>146</v>
      </c>
      <c r="D1018" s="1315" t="s">
        <v>65</v>
      </c>
      <c r="E1018" s="1315">
        <v>12</v>
      </c>
      <c r="F1018" s="1315" t="s">
        <v>166</v>
      </c>
      <c r="G1018" s="1315"/>
      <c r="H1018" s="1315" t="s">
        <v>2006</v>
      </c>
      <c r="I1018" s="1350" t="s">
        <v>2007</v>
      </c>
      <c r="J1018" s="1348" t="s">
        <v>2008</v>
      </c>
      <c r="K1018" s="1318">
        <v>0.9</v>
      </c>
      <c r="L1018" s="1319">
        <v>151854637</v>
      </c>
      <c r="M1018" s="1320" t="s">
        <v>2009</v>
      </c>
      <c r="N1018" s="1319">
        <v>81332700</v>
      </c>
      <c r="O1018" s="1314"/>
      <c r="P1018" s="1319">
        <v>82796200</v>
      </c>
      <c r="Q1018" s="1307">
        <f t="shared" si="267"/>
        <v>0</v>
      </c>
      <c r="R1018" s="1319">
        <v>0</v>
      </c>
      <c r="S1018" s="1308"/>
      <c r="T1018" s="1319"/>
      <c r="U1018" s="1308"/>
      <c r="V1018" s="1319"/>
      <c r="W1018" s="1314"/>
      <c r="X1018" s="1314"/>
      <c r="Y1018" s="1309">
        <f t="shared" si="265"/>
        <v>0</v>
      </c>
      <c r="Z1018" s="1305">
        <f t="shared" si="265"/>
        <v>0</v>
      </c>
      <c r="AA1018" s="1310" t="e">
        <f t="shared" si="264"/>
        <v>#VALUE!</v>
      </c>
      <c r="AB1018" s="1311">
        <f t="shared" si="264"/>
        <v>81332700</v>
      </c>
      <c r="AC1018" s="1312">
        <f t="shared" si="266"/>
        <v>0</v>
      </c>
      <c r="AD1018" s="1313">
        <f t="shared" si="268"/>
        <v>0.53559576188641511</v>
      </c>
      <c r="AE1018" s="1314" t="s">
        <v>1938</v>
      </c>
    </row>
    <row r="1019" spans="1:31" s="1298" customFormat="1" ht="38.25" customHeight="1">
      <c r="A1019" s="1314"/>
      <c r="B1019" s="1314"/>
      <c r="C1019" s="1315" t="s">
        <v>146</v>
      </c>
      <c r="D1019" s="1315" t="s">
        <v>65</v>
      </c>
      <c r="E1019" s="1315">
        <v>12</v>
      </c>
      <c r="F1019" s="1315" t="s">
        <v>166</v>
      </c>
      <c r="G1019" s="1315"/>
      <c r="H1019" s="1315" t="s">
        <v>146</v>
      </c>
      <c r="I1019" s="1350" t="s">
        <v>2010</v>
      </c>
      <c r="J1019" s="1348" t="s">
        <v>2011</v>
      </c>
      <c r="K1019" s="1318">
        <v>0.85</v>
      </c>
      <c r="L1019" s="1319">
        <v>162500000</v>
      </c>
      <c r="M1019" s="1314">
        <v>0</v>
      </c>
      <c r="N1019" s="1319">
        <v>0</v>
      </c>
      <c r="O1019" s="1314"/>
      <c r="P1019" s="1319">
        <v>0</v>
      </c>
      <c r="Q1019" s="1307" t="e">
        <f t="shared" si="267"/>
        <v>#DIV/0!</v>
      </c>
      <c r="R1019" s="1319">
        <v>0</v>
      </c>
      <c r="S1019" s="1308"/>
      <c r="T1019" s="1319"/>
      <c r="U1019" s="1308"/>
      <c r="V1019" s="1319"/>
      <c r="W1019" s="1314"/>
      <c r="X1019" s="1314"/>
      <c r="Y1019" s="1309" t="e">
        <f t="shared" si="265"/>
        <v>#DIV/0!</v>
      </c>
      <c r="Z1019" s="1305">
        <f t="shared" si="265"/>
        <v>0</v>
      </c>
      <c r="AA1019" s="1310" t="e">
        <f t="shared" si="264"/>
        <v>#DIV/0!</v>
      </c>
      <c r="AB1019" s="1311">
        <f t="shared" si="264"/>
        <v>0</v>
      </c>
      <c r="AC1019" s="1312" t="e">
        <f t="shared" si="266"/>
        <v>#DIV/0!</v>
      </c>
      <c r="AD1019" s="1313">
        <f t="shared" si="268"/>
        <v>0</v>
      </c>
      <c r="AE1019" s="1314" t="s">
        <v>1938</v>
      </c>
    </row>
    <row r="1020" spans="1:31" s="1298" customFormat="1" ht="38.25" customHeight="1">
      <c r="A1020" s="1314"/>
      <c r="B1020" s="1314"/>
      <c r="C1020" s="1315" t="s">
        <v>146</v>
      </c>
      <c r="D1020" s="1315" t="s">
        <v>65</v>
      </c>
      <c r="E1020" s="1315">
        <v>12</v>
      </c>
      <c r="F1020" s="1315" t="s">
        <v>166</v>
      </c>
      <c r="G1020" s="1315"/>
      <c r="H1020" s="1315" t="s">
        <v>146</v>
      </c>
      <c r="I1020" s="1350" t="s">
        <v>2012</v>
      </c>
      <c r="J1020" s="1351" t="s">
        <v>2013</v>
      </c>
      <c r="K1020" s="1318">
        <v>0.9</v>
      </c>
      <c r="L1020" s="1319">
        <v>0</v>
      </c>
      <c r="M1020" s="1314">
        <v>0</v>
      </c>
      <c r="N1020" s="1319">
        <v>0</v>
      </c>
      <c r="O1020" s="1314"/>
      <c r="P1020" s="1319">
        <v>0</v>
      </c>
      <c r="Q1020" s="1307" t="e">
        <f t="shared" si="267"/>
        <v>#DIV/0!</v>
      </c>
      <c r="R1020" s="1319">
        <v>0</v>
      </c>
      <c r="S1020" s="1308"/>
      <c r="T1020" s="1319"/>
      <c r="U1020" s="1308"/>
      <c r="V1020" s="1319"/>
      <c r="W1020" s="1314"/>
      <c r="X1020" s="1314"/>
      <c r="Y1020" s="1309" t="e">
        <f t="shared" si="265"/>
        <v>#DIV/0!</v>
      </c>
      <c r="Z1020" s="1305">
        <f t="shared" si="265"/>
        <v>0</v>
      </c>
      <c r="AA1020" s="1310" t="e">
        <f t="shared" si="264"/>
        <v>#DIV/0!</v>
      </c>
      <c r="AB1020" s="1311">
        <f t="shared" si="264"/>
        <v>0</v>
      </c>
      <c r="AC1020" s="1312" t="e">
        <f t="shared" si="266"/>
        <v>#DIV/0!</v>
      </c>
      <c r="AD1020" s="1313" t="e">
        <f t="shared" si="268"/>
        <v>#DIV/0!</v>
      </c>
      <c r="AE1020" s="1314" t="s">
        <v>1938</v>
      </c>
    </row>
    <row r="1021" spans="1:31" s="1298" customFormat="1" ht="38.25" customHeight="1">
      <c r="A1021" s="1314"/>
      <c r="B1021" s="1314"/>
      <c r="C1021" s="1315" t="s">
        <v>146</v>
      </c>
      <c r="D1021" s="1315" t="s">
        <v>65</v>
      </c>
      <c r="E1021" s="1315">
        <v>12</v>
      </c>
      <c r="F1021" s="1315" t="s">
        <v>166</v>
      </c>
      <c r="G1021" s="1315"/>
      <c r="H1021" s="1315" t="s">
        <v>146</v>
      </c>
      <c r="I1021" s="1350" t="s">
        <v>2014</v>
      </c>
      <c r="J1021" s="1351" t="s">
        <v>2015</v>
      </c>
      <c r="K1021" s="1318">
        <v>0.85</v>
      </c>
      <c r="L1021" s="1319">
        <v>94500000</v>
      </c>
      <c r="M1021" s="1314">
        <v>0</v>
      </c>
      <c r="N1021" s="1319">
        <v>0</v>
      </c>
      <c r="O1021" s="1314"/>
      <c r="P1021" s="1319">
        <v>0</v>
      </c>
      <c r="Q1021" s="1307" t="e">
        <f t="shared" si="267"/>
        <v>#DIV/0!</v>
      </c>
      <c r="R1021" s="1319">
        <v>0</v>
      </c>
      <c r="S1021" s="1308"/>
      <c r="T1021" s="1319"/>
      <c r="U1021" s="1308"/>
      <c r="V1021" s="1319"/>
      <c r="W1021" s="1314"/>
      <c r="X1021" s="1314"/>
      <c r="Y1021" s="1309" t="e">
        <f t="shared" si="265"/>
        <v>#DIV/0!</v>
      </c>
      <c r="Z1021" s="1305">
        <f t="shared" si="265"/>
        <v>0</v>
      </c>
      <c r="AA1021" s="1310" t="e">
        <f t="shared" si="264"/>
        <v>#DIV/0!</v>
      </c>
      <c r="AB1021" s="1311">
        <f t="shared" si="264"/>
        <v>0</v>
      </c>
      <c r="AC1021" s="1312" t="e">
        <f t="shared" si="266"/>
        <v>#DIV/0!</v>
      </c>
      <c r="AD1021" s="1313">
        <f t="shared" si="268"/>
        <v>0</v>
      </c>
      <c r="AE1021" s="1314" t="s">
        <v>1938</v>
      </c>
    </row>
    <row r="1022" spans="1:31" s="1298" customFormat="1" ht="26.25" customHeight="1">
      <c r="A1022" s="1314"/>
      <c r="B1022" s="1314"/>
      <c r="C1022" s="1315" t="s">
        <v>146</v>
      </c>
      <c r="D1022" s="1315" t="s">
        <v>65</v>
      </c>
      <c r="E1022" s="1315">
        <v>12</v>
      </c>
      <c r="F1022" s="1315" t="s">
        <v>166</v>
      </c>
      <c r="G1022" s="1315"/>
      <c r="H1022" s="1315" t="s">
        <v>2006</v>
      </c>
      <c r="I1022" s="1347" t="s">
        <v>2016</v>
      </c>
      <c r="J1022" s="1351" t="s">
        <v>2017</v>
      </c>
      <c r="K1022" s="1318">
        <v>0.9</v>
      </c>
      <c r="L1022" s="1319">
        <v>90000000</v>
      </c>
      <c r="M1022" s="1318">
        <v>1</v>
      </c>
      <c r="N1022" s="1319">
        <v>29925591</v>
      </c>
      <c r="O1022" s="1314"/>
      <c r="P1022" s="1319">
        <v>49913000</v>
      </c>
      <c r="Q1022" s="1307">
        <f t="shared" si="267"/>
        <v>0</v>
      </c>
      <c r="R1022" s="1319">
        <v>0</v>
      </c>
      <c r="S1022" s="1308"/>
      <c r="T1022" s="1319"/>
      <c r="U1022" s="1308"/>
      <c r="V1022" s="1319"/>
      <c r="W1022" s="1314"/>
      <c r="X1022" s="1314"/>
      <c r="Y1022" s="1309">
        <f t="shared" si="265"/>
        <v>0</v>
      </c>
      <c r="Z1022" s="1305">
        <f t="shared" si="265"/>
        <v>0</v>
      </c>
      <c r="AA1022" s="1310">
        <f t="shared" si="264"/>
        <v>1</v>
      </c>
      <c r="AB1022" s="1311">
        <f t="shared" si="264"/>
        <v>29925591</v>
      </c>
      <c r="AC1022" s="1312">
        <f t="shared" si="266"/>
        <v>0</v>
      </c>
      <c r="AD1022" s="1313">
        <f t="shared" si="268"/>
        <v>0.33250656666666667</v>
      </c>
      <c r="AE1022" s="1314" t="s">
        <v>1938</v>
      </c>
    </row>
    <row r="1023" spans="1:31" s="1298" customFormat="1" ht="38.25" customHeight="1">
      <c r="A1023" s="1314"/>
      <c r="B1023" s="1314"/>
      <c r="C1023" s="1315" t="s">
        <v>146</v>
      </c>
      <c r="D1023" s="1315" t="s">
        <v>65</v>
      </c>
      <c r="E1023" s="1315">
        <v>12</v>
      </c>
      <c r="F1023" s="1315" t="s">
        <v>166</v>
      </c>
      <c r="G1023" s="1315"/>
      <c r="H1023" s="1315" t="s">
        <v>2006</v>
      </c>
      <c r="I1023" s="1347" t="s">
        <v>2018</v>
      </c>
      <c r="J1023" s="1348" t="s">
        <v>2019</v>
      </c>
      <c r="K1023" s="1318">
        <v>0.9</v>
      </c>
      <c r="L1023" s="1319">
        <v>105749014</v>
      </c>
      <c r="M1023" s="1320" t="s">
        <v>2020</v>
      </c>
      <c r="N1023" s="1319">
        <v>68292150</v>
      </c>
      <c r="O1023" s="1314" t="s">
        <v>2021</v>
      </c>
      <c r="P1023" s="1319">
        <v>28772621</v>
      </c>
      <c r="Q1023" s="1307">
        <f t="shared" si="267"/>
        <v>15.799742400944286</v>
      </c>
      <c r="R1023" s="1319">
        <v>4546000</v>
      </c>
      <c r="S1023" s="1308"/>
      <c r="T1023" s="1319"/>
      <c r="U1023" s="1308"/>
      <c r="V1023" s="1319"/>
      <c r="W1023" s="1314"/>
      <c r="X1023" s="1314"/>
      <c r="Y1023" s="1309">
        <f t="shared" si="265"/>
        <v>15.799742400944286</v>
      </c>
      <c r="Z1023" s="1305">
        <f t="shared" si="265"/>
        <v>4546000</v>
      </c>
      <c r="AA1023" s="1310" t="e">
        <f t="shared" si="264"/>
        <v>#VALUE!</v>
      </c>
      <c r="AB1023" s="1311">
        <f t="shared" si="264"/>
        <v>72838150</v>
      </c>
      <c r="AC1023" s="1312">
        <f t="shared" si="266"/>
        <v>15.799742400944286</v>
      </c>
      <c r="AD1023" s="1313">
        <f t="shared" si="268"/>
        <v>0.68878325428169007</v>
      </c>
      <c r="AE1023" s="1314" t="s">
        <v>1938</v>
      </c>
    </row>
    <row r="1024" spans="1:31" s="1298" customFormat="1" ht="38.25" customHeight="1">
      <c r="A1024" s="1314"/>
      <c r="B1024" s="1314"/>
      <c r="C1024" s="1315" t="s">
        <v>146</v>
      </c>
      <c r="D1024" s="1315" t="s">
        <v>65</v>
      </c>
      <c r="E1024" s="1315">
        <v>12</v>
      </c>
      <c r="F1024" s="1315" t="s">
        <v>166</v>
      </c>
      <c r="G1024" s="1315"/>
      <c r="H1024" s="1315" t="s">
        <v>146</v>
      </c>
      <c r="I1024" s="1347" t="s">
        <v>2022</v>
      </c>
      <c r="J1024" s="1348" t="s">
        <v>2023</v>
      </c>
      <c r="K1024" s="1318">
        <v>0.9</v>
      </c>
      <c r="L1024" s="1319">
        <v>51243500</v>
      </c>
      <c r="M1024" s="1314">
        <v>0</v>
      </c>
      <c r="N1024" s="1319">
        <v>0</v>
      </c>
      <c r="O1024" s="1314"/>
      <c r="P1024" s="1319">
        <v>0</v>
      </c>
      <c r="Q1024" s="1307" t="e">
        <f t="shared" si="267"/>
        <v>#DIV/0!</v>
      </c>
      <c r="R1024" s="1319">
        <v>0</v>
      </c>
      <c r="S1024" s="1308"/>
      <c r="T1024" s="1319"/>
      <c r="U1024" s="1308"/>
      <c r="V1024" s="1319"/>
      <c r="W1024" s="1314"/>
      <c r="X1024" s="1314"/>
      <c r="Y1024" s="1309" t="e">
        <f t="shared" si="265"/>
        <v>#DIV/0!</v>
      </c>
      <c r="Z1024" s="1305">
        <f t="shared" si="265"/>
        <v>0</v>
      </c>
      <c r="AA1024" s="1310" t="e">
        <f t="shared" si="264"/>
        <v>#DIV/0!</v>
      </c>
      <c r="AB1024" s="1311">
        <f t="shared" si="264"/>
        <v>0</v>
      </c>
      <c r="AC1024" s="1312" t="e">
        <f t="shared" si="266"/>
        <v>#DIV/0!</v>
      </c>
      <c r="AD1024" s="1313">
        <f t="shared" si="268"/>
        <v>0</v>
      </c>
      <c r="AE1024" s="1314" t="s">
        <v>1938</v>
      </c>
    </row>
    <row r="1025" spans="1:31" s="1298" customFormat="1" ht="41.25" customHeight="1">
      <c r="A1025" s="1314"/>
      <c r="B1025" s="1314"/>
      <c r="C1025" s="1315" t="s">
        <v>146</v>
      </c>
      <c r="D1025" s="1315" t="s">
        <v>65</v>
      </c>
      <c r="E1025" s="1315">
        <v>12</v>
      </c>
      <c r="F1025" s="1315" t="s">
        <v>166</v>
      </c>
      <c r="G1025" s="1315"/>
      <c r="H1025" s="1315" t="s">
        <v>2006</v>
      </c>
      <c r="I1025" s="1352" t="s">
        <v>2024</v>
      </c>
      <c r="J1025" s="1353" t="s">
        <v>2025</v>
      </c>
      <c r="K1025" s="1318">
        <v>0.9</v>
      </c>
      <c r="L1025" s="1319">
        <v>127243600</v>
      </c>
      <c r="M1025" s="1327" t="s">
        <v>2026</v>
      </c>
      <c r="N1025" s="1319">
        <v>42968000</v>
      </c>
      <c r="O1025" s="1310">
        <v>0.27210000000000001</v>
      </c>
      <c r="P1025" s="1319">
        <v>11175250</v>
      </c>
      <c r="Q1025" s="1307">
        <f t="shared" si="267"/>
        <v>145.00257264938145</v>
      </c>
      <c r="R1025" s="1319">
        <v>16204400</v>
      </c>
      <c r="S1025" s="1308"/>
      <c r="T1025" s="1319"/>
      <c r="U1025" s="1308"/>
      <c r="V1025" s="1319"/>
      <c r="W1025" s="1314"/>
      <c r="X1025" s="1314"/>
      <c r="Y1025" s="1309">
        <f t="shared" si="265"/>
        <v>145.00257264938145</v>
      </c>
      <c r="Z1025" s="1305">
        <f t="shared" si="265"/>
        <v>16204400</v>
      </c>
      <c r="AA1025" s="1310" t="e">
        <f t="shared" si="264"/>
        <v>#VALUE!</v>
      </c>
      <c r="AB1025" s="1311">
        <f t="shared" si="264"/>
        <v>59172400</v>
      </c>
      <c r="AC1025" s="1312">
        <f t="shared" si="266"/>
        <v>145.00257264938145</v>
      </c>
      <c r="AD1025" s="1313">
        <f t="shared" si="268"/>
        <v>0.46503242599234851</v>
      </c>
      <c r="AE1025" s="1314" t="s">
        <v>1938</v>
      </c>
    </row>
    <row r="1026" spans="1:31" s="1298" customFormat="1" ht="41.25" customHeight="1">
      <c r="A1026" s="1314"/>
      <c r="B1026" s="1314"/>
      <c r="C1026" s="1315" t="s">
        <v>146</v>
      </c>
      <c r="D1026" s="1315" t="s">
        <v>65</v>
      </c>
      <c r="E1026" s="1315">
        <v>12</v>
      </c>
      <c r="F1026" s="1315" t="s">
        <v>166</v>
      </c>
      <c r="G1026" s="1315"/>
      <c r="H1026" s="1315" t="s">
        <v>146</v>
      </c>
      <c r="I1026" s="1352" t="s">
        <v>2027</v>
      </c>
      <c r="J1026" s="1354" t="s">
        <v>2028</v>
      </c>
      <c r="K1026" s="1318">
        <v>0.9</v>
      </c>
      <c r="L1026" s="1319">
        <v>0</v>
      </c>
      <c r="M1026" s="1314">
        <v>0</v>
      </c>
      <c r="N1026" s="1319">
        <v>0</v>
      </c>
      <c r="O1026" s="1314"/>
      <c r="P1026" s="1319">
        <v>0</v>
      </c>
      <c r="Q1026" s="1307" t="e">
        <f t="shared" si="267"/>
        <v>#DIV/0!</v>
      </c>
      <c r="R1026" s="1319">
        <v>0</v>
      </c>
      <c r="S1026" s="1308"/>
      <c r="T1026" s="1319"/>
      <c r="U1026" s="1308"/>
      <c r="V1026" s="1319"/>
      <c r="W1026" s="1314"/>
      <c r="X1026" s="1314"/>
      <c r="Y1026" s="1309" t="e">
        <f t="shared" si="265"/>
        <v>#DIV/0!</v>
      </c>
      <c r="Z1026" s="1305">
        <f t="shared" si="265"/>
        <v>0</v>
      </c>
      <c r="AA1026" s="1310" t="e">
        <f t="shared" si="264"/>
        <v>#DIV/0!</v>
      </c>
      <c r="AB1026" s="1311">
        <f t="shared" si="264"/>
        <v>0</v>
      </c>
      <c r="AC1026" s="1312" t="e">
        <f t="shared" si="266"/>
        <v>#DIV/0!</v>
      </c>
      <c r="AD1026" s="1313" t="e">
        <f t="shared" si="268"/>
        <v>#DIV/0!</v>
      </c>
      <c r="AE1026" s="1314" t="s">
        <v>1938</v>
      </c>
    </row>
    <row r="1027" spans="1:31" s="1298" customFormat="1" ht="41.25" customHeight="1">
      <c r="A1027" s="1314"/>
      <c r="B1027" s="1314"/>
      <c r="C1027" s="1315" t="s">
        <v>146</v>
      </c>
      <c r="D1027" s="1315" t="s">
        <v>65</v>
      </c>
      <c r="E1027" s="1315">
        <v>12</v>
      </c>
      <c r="F1027" s="1315" t="s">
        <v>166</v>
      </c>
      <c r="G1027" s="1315"/>
      <c r="H1027" s="1315" t="s">
        <v>146</v>
      </c>
      <c r="I1027" s="1352" t="s">
        <v>2029</v>
      </c>
      <c r="J1027" s="1353" t="s">
        <v>2030</v>
      </c>
      <c r="K1027" s="1318">
        <v>0.9</v>
      </c>
      <c r="L1027" s="1319">
        <v>128441500</v>
      </c>
      <c r="M1027" s="1314">
        <v>0</v>
      </c>
      <c r="N1027" s="1319">
        <v>0</v>
      </c>
      <c r="O1027" s="1314"/>
      <c r="P1027" s="1319">
        <v>0</v>
      </c>
      <c r="Q1027" s="1307" t="e">
        <f t="shared" si="267"/>
        <v>#DIV/0!</v>
      </c>
      <c r="R1027" s="1319">
        <v>0</v>
      </c>
      <c r="S1027" s="1308"/>
      <c r="T1027" s="1319"/>
      <c r="U1027" s="1308"/>
      <c r="V1027" s="1319"/>
      <c r="W1027" s="1314"/>
      <c r="X1027" s="1314"/>
      <c r="Y1027" s="1309" t="e">
        <f t="shared" si="265"/>
        <v>#DIV/0!</v>
      </c>
      <c r="Z1027" s="1305">
        <f t="shared" si="265"/>
        <v>0</v>
      </c>
      <c r="AA1027" s="1310" t="e">
        <f t="shared" si="264"/>
        <v>#DIV/0!</v>
      </c>
      <c r="AB1027" s="1311">
        <f t="shared" si="264"/>
        <v>0</v>
      </c>
      <c r="AC1027" s="1312" t="e">
        <f t="shared" si="266"/>
        <v>#DIV/0!</v>
      </c>
      <c r="AD1027" s="1313">
        <f t="shared" si="268"/>
        <v>0</v>
      </c>
      <c r="AE1027" s="1314" t="s">
        <v>1938</v>
      </c>
    </row>
    <row r="1028" spans="1:31" s="1298" customFormat="1" ht="28.5" customHeight="1">
      <c r="A1028" s="1314"/>
      <c r="B1028" s="1314"/>
      <c r="C1028" s="1315"/>
      <c r="D1028" s="1315"/>
      <c r="E1028" s="1315"/>
      <c r="F1028" s="1315"/>
      <c r="G1028" s="1315"/>
      <c r="H1028" s="1315"/>
      <c r="I1028" s="1355"/>
      <c r="J1028" s="1356"/>
      <c r="K1028" s="1314"/>
      <c r="L1028" s="1319"/>
      <c r="M1028" s="1314"/>
      <c r="N1028" s="1322"/>
      <c r="O1028" s="1314"/>
      <c r="P1028" s="1319"/>
      <c r="Q1028" s="1307" t="e">
        <f t="shared" si="267"/>
        <v>#DIV/0!</v>
      </c>
      <c r="R1028" s="1319"/>
      <c r="S1028" s="1308"/>
      <c r="T1028" s="1314"/>
      <c r="U1028" s="1314"/>
      <c r="V1028" s="1314"/>
      <c r="W1028" s="1314"/>
      <c r="X1028" s="1314"/>
      <c r="Y1028" s="1309" t="e">
        <f t="shared" si="265"/>
        <v>#DIV/0!</v>
      </c>
      <c r="Z1028" s="1305">
        <f t="shared" si="265"/>
        <v>0</v>
      </c>
      <c r="AA1028" s="1310" t="e">
        <f t="shared" si="264"/>
        <v>#DIV/0!</v>
      </c>
      <c r="AB1028" s="1311">
        <f t="shared" si="264"/>
        <v>0</v>
      </c>
      <c r="AC1028" s="1312" t="e">
        <f t="shared" si="266"/>
        <v>#DIV/0!</v>
      </c>
      <c r="AD1028" s="1313" t="e">
        <f t="shared" si="268"/>
        <v>#DIV/0!</v>
      </c>
      <c r="AE1028" s="1314" t="s">
        <v>1938</v>
      </c>
    </row>
    <row r="1029" spans="1:31" s="1298" customFormat="1" ht="77.25" customHeight="1">
      <c r="A1029" s="1314"/>
      <c r="B1029" s="1300" t="s">
        <v>2031</v>
      </c>
      <c r="C1029" s="1301" t="s">
        <v>146</v>
      </c>
      <c r="D1029" s="1301" t="s">
        <v>65</v>
      </c>
      <c r="E1029" s="1301" t="s">
        <v>160</v>
      </c>
      <c r="F1029" s="1301" t="s">
        <v>167</v>
      </c>
      <c r="G1029" s="1301"/>
      <c r="H1029" s="1302"/>
      <c r="I1029" s="1344" t="s">
        <v>2032</v>
      </c>
      <c r="J1029" s="1343"/>
      <c r="K1029" s="1304">
        <v>0.9</v>
      </c>
      <c r="L1029" s="1322">
        <f>SUM(L1030:L1034)</f>
        <v>496787602</v>
      </c>
      <c r="M1029" s="1327" t="s">
        <v>2033</v>
      </c>
      <c r="N1029" s="1319">
        <v>177687114</v>
      </c>
      <c r="O1029" s="1310">
        <v>0.1343</v>
      </c>
      <c r="P1029" s="1322">
        <f>SUM(P1030:P1034)</f>
        <v>313542064</v>
      </c>
      <c r="Q1029" s="1307">
        <f t="shared" si="267"/>
        <v>13.039398758311421</v>
      </c>
      <c r="R1029" s="1322">
        <f>SUM(R1030:R1034)</f>
        <v>40884000</v>
      </c>
      <c r="S1029" s="1308"/>
      <c r="T1029" s="1322"/>
      <c r="U1029" s="1308"/>
      <c r="V1029" s="1322"/>
      <c r="W1029" s="1314"/>
      <c r="X1029" s="1314"/>
      <c r="Y1029" s="1309">
        <f t="shared" si="265"/>
        <v>13.039398758311421</v>
      </c>
      <c r="Z1029" s="1305">
        <f t="shared" si="265"/>
        <v>40884000</v>
      </c>
      <c r="AA1029" s="1310" t="e">
        <f t="shared" si="264"/>
        <v>#VALUE!</v>
      </c>
      <c r="AB1029" s="1311">
        <f t="shared" si="264"/>
        <v>218571114</v>
      </c>
      <c r="AC1029" s="1312">
        <f t="shared" si="266"/>
        <v>13.039398758311421</v>
      </c>
      <c r="AD1029" s="1313">
        <f t="shared" si="268"/>
        <v>0.43996893867733838</v>
      </c>
      <c r="AE1029" s="1314" t="s">
        <v>1938</v>
      </c>
    </row>
    <row r="1030" spans="1:31" s="1298" customFormat="1" ht="37.5" customHeight="1">
      <c r="A1030" s="1314"/>
      <c r="B1030" s="1314"/>
      <c r="C1030" s="1315" t="s">
        <v>146</v>
      </c>
      <c r="D1030" s="1315" t="s">
        <v>65</v>
      </c>
      <c r="E1030" s="1315">
        <v>12</v>
      </c>
      <c r="F1030" s="1315" t="s">
        <v>167</v>
      </c>
      <c r="G1030" s="1315"/>
      <c r="H1030" s="1315" t="s">
        <v>2034</v>
      </c>
      <c r="I1030" s="1357" t="s">
        <v>2035</v>
      </c>
      <c r="J1030" s="1358" t="s">
        <v>2036</v>
      </c>
      <c r="K1030" s="1318">
        <v>0.9</v>
      </c>
      <c r="L1030" s="1319">
        <v>303600000</v>
      </c>
      <c r="M1030" s="1310">
        <v>0.93689999999999996</v>
      </c>
      <c r="N1030" s="1319">
        <v>62163800</v>
      </c>
      <c r="O1030" s="1310">
        <v>0.20580000000000001</v>
      </c>
      <c r="P1030" s="1319">
        <v>177687114</v>
      </c>
      <c r="Q1030" s="1307">
        <f t="shared" si="267"/>
        <v>14.377379104710991</v>
      </c>
      <c r="R1030" s="1319">
        <v>25546750</v>
      </c>
      <c r="S1030" s="1308"/>
      <c r="T1030" s="1319"/>
      <c r="U1030" s="1308"/>
      <c r="V1030" s="1319"/>
      <c r="W1030" s="1314"/>
      <c r="X1030" s="1314"/>
      <c r="Y1030" s="1309">
        <f t="shared" si="265"/>
        <v>14.377379104710991</v>
      </c>
      <c r="Z1030" s="1305">
        <f t="shared" si="265"/>
        <v>25546750</v>
      </c>
      <c r="AA1030" s="1310">
        <f t="shared" si="264"/>
        <v>15.314279104710991</v>
      </c>
      <c r="AB1030" s="1311">
        <f t="shared" si="264"/>
        <v>87710550</v>
      </c>
      <c r="AC1030" s="1312">
        <f t="shared" si="266"/>
        <v>14.377379104710991</v>
      </c>
      <c r="AD1030" s="1313">
        <f t="shared" si="268"/>
        <v>0.28890167984189724</v>
      </c>
      <c r="AE1030" s="1314" t="s">
        <v>1938</v>
      </c>
    </row>
    <row r="1031" spans="1:31" s="1298" customFormat="1" ht="39.75" customHeight="1">
      <c r="A1031" s="1314"/>
      <c r="B1031" s="1314"/>
      <c r="C1031" s="1315" t="s">
        <v>146</v>
      </c>
      <c r="D1031" s="1315" t="s">
        <v>65</v>
      </c>
      <c r="E1031" s="1315">
        <v>12</v>
      </c>
      <c r="F1031" s="1315" t="s">
        <v>167</v>
      </c>
      <c r="G1031" s="1315"/>
      <c r="H1031" s="1315" t="s">
        <v>2034</v>
      </c>
      <c r="I1031" s="1347" t="s">
        <v>2037</v>
      </c>
      <c r="J1031" s="1358" t="s">
        <v>2038</v>
      </c>
      <c r="K1031" s="1318">
        <v>0.9</v>
      </c>
      <c r="L1031" s="1319">
        <v>141093801</v>
      </c>
      <c r="M1031" s="1310">
        <v>0.88570000000000004</v>
      </c>
      <c r="N1031" s="1319">
        <v>0</v>
      </c>
      <c r="O1031" s="1310">
        <v>0.223</v>
      </c>
      <c r="P1031" s="1319">
        <v>62163800</v>
      </c>
      <c r="Q1031" s="1307">
        <f t="shared" si="267"/>
        <v>18.186629517500538</v>
      </c>
      <c r="R1031" s="1319">
        <v>11305500</v>
      </c>
      <c r="S1031" s="1308"/>
      <c r="T1031" s="1319"/>
      <c r="U1031" s="1308"/>
      <c r="V1031" s="1319"/>
      <c r="W1031" s="1314"/>
      <c r="X1031" s="1314"/>
      <c r="Y1031" s="1309">
        <f t="shared" si="265"/>
        <v>18.186629517500538</v>
      </c>
      <c r="Z1031" s="1305">
        <f t="shared" si="265"/>
        <v>11305500</v>
      </c>
      <c r="AA1031" s="1310">
        <f t="shared" si="264"/>
        <v>19.072329517500538</v>
      </c>
      <c r="AB1031" s="1311">
        <f t="shared" si="264"/>
        <v>11305500</v>
      </c>
      <c r="AC1031" s="1312">
        <f t="shared" si="266"/>
        <v>18.186629517500538</v>
      </c>
      <c r="AD1031" s="1313">
        <f t="shared" si="268"/>
        <v>8.012754578778411E-2</v>
      </c>
      <c r="AE1031" s="1314" t="s">
        <v>1938</v>
      </c>
    </row>
    <row r="1032" spans="1:31" s="1298" customFormat="1" ht="41.25" customHeight="1">
      <c r="A1032" s="1314"/>
      <c r="B1032" s="1314"/>
      <c r="C1032" s="1315" t="s">
        <v>146</v>
      </c>
      <c r="D1032" s="1315" t="s">
        <v>65</v>
      </c>
      <c r="E1032" s="1315">
        <v>12</v>
      </c>
      <c r="F1032" s="1315" t="s">
        <v>167</v>
      </c>
      <c r="G1032" s="1315"/>
      <c r="H1032" s="1315" t="s">
        <v>2034</v>
      </c>
      <c r="I1032" s="1350" t="s">
        <v>2039</v>
      </c>
      <c r="J1032" s="1358" t="s">
        <v>2040</v>
      </c>
      <c r="K1032" s="1318">
        <v>0.9</v>
      </c>
      <c r="L1032" s="1319">
        <v>0</v>
      </c>
      <c r="M1032" s="1314">
        <v>0</v>
      </c>
      <c r="N1032" s="1319">
        <v>29438550</v>
      </c>
      <c r="O1032" s="1314"/>
      <c r="P1032" s="1319">
        <v>0</v>
      </c>
      <c r="Q1032" s="1307" t="e">
        <f t="shared" si="267"/>
        <v>#DIV/0!</v>
      </c>
      <c r="R1032" s="1319">
        <v>0</v>
      </c>
      <c r="S1032" s="1308"/>
      <c r="T1032" s="1319"/>
      <c r="U1032" s="1308"/>
      <c r="V1032" s="1319"/>
      <c r="W1032" s="1314"/>
      <c r="X1032" s="1314"/>
      <c r="Y1032" s="1309" t="e">
        <f t="shared" si="265"/>
        <v>#DIV/0!</v>
      </c>
      <c r="Z1032" s="1305">
        <f t="shared" si="265"/>
        <v>0</v>
      </c>
      <c r="AA1032" s="1310" t="e">
        <f t="shared" si="264"/>
        <v>#DIV/0!</v>
      </c>
      <c r="AB1032" s="1311">
        <f t="shared" si="264"/>
        <v>29438550</v>
      </c>
      <c r="AC1032" s="1312" t="e">
        <f t="shared" si="266"/>
        <v>#DIV/0!</v>
      </c>
      <c r="AD1032" s="1313" t="e">
        <f t="shared" si="268"/>
        <v>#DIV/0!</v>
      </c>
      <c r="AE1032" s="1314" t="s">
        <v>1938</v>
      </c>
    </row>
    <row r="1033" spans="1:31" s="1298" customFormat="1" ht="63" customHeight="1">
      <c r="A1033" s="1314"/>
      <c r="B1033" s="1314"/>
      <c r="C1033" s="1315" t="s">
        <v>146</v>
      </c>
      <c r="D1033" s="1315" t="s">
        <v>65</v>
      </c>
      <c r="E1033" s="1315">
        <v>12</v>
      </c>
      <c r="F1033" s="1315" t="s">
        <v>167</v>
      </c>
      <c r="G1033" s="1315"/>
      <c r="H1033" s="1315" t="s">
        <v>2034</v>
      </c>
      <c r="I1033" s="1347" t="s">
        <v>2041</v>
      </c>
      <c r="J1033" s="1358" t="s">
        <v>2042</v>
      </c>
      <c r="K1033" s="1318">
        <v>0.9</v>
      </c>
      <c r="L1033" s="1359">
        <v>52093801</v>
      </c>
      <c r="M1033" s="1310">
        <v>0.98839999999999995</v>
      </c>
      <c r="N1033" s="1319">
        <v>44252600</v>
      </c>
      <c r="O1033" s="1314" t="s">
        <v>2043</v>
      </c>
      <c r="P1033" s="1319">
        <v>29438550</v>
      </c>
      <c r="Q1033" s="1307">
        <f t="shared" si="267"/>
        <v>13.695477528614692</v>
      </c>
      <c r="R1033" s="1319">
        <v>4031750</v>
      </c>
      <c r="S1033" s="1308"/>
      <c r="T1033" s="1319"/>
      <c r="U1033" s="1308"/>
      <c r="V1033" s="1319"/>
      <c r="W1033" s="1314"/>
      <c r="X1033" s="1314"/>
      <c r="Y1033" s="1309">
        <f t="shared" si="265"/>
        <v>13.695477528614692</v>
      </c>
      <c r="Z1033" s="1305">
        <f t="shared" si="265"/>
        <v>4031750</v>
      </c>
      <c r="AA1033" s="1310">
        <f t="shared" si="264"/>
        <v>14.683877528614692</v>
      </c>
      <c r="AB1033" s="1311">
        <f t="shared" si="264"/>
        <v>48284350</v>
      </c>
      <c r="AC1033" s="1312">
        <f t="shared" si="266"/>
        <v>13.695477528614692</v>
      </c>
      <c r="AD1033" s="1313">
        <f t="shared" si="268"/>
        <v>0.92687323775817398</v>
      </c>
      <c r="AE1033" s="1314" t="s">
        <v>1938</v>
      </c>
    </row>
    <row r="1034" spans="1:31" s="1298" customFormat="1" ht="42" customHeight="1">
      <c r="A1034" s="1314"/>
      <c r="B1034" s="1314"/>
      <c r="C1034" s="1315" t="s">
        <v>146</v>
      </c>
      <c r="D1034" s="1315" t="s">
        <v>65</v>
      </c>
      <c r="E1034" s="1315">
        <v>12</v>
      </c>
      <c r="F1034" s="1315" t="s">
        <v>167</v>
      </c>
      <c r="G1034" s="1315"/>
      <c r="H1034" s="1315" t="s">
        <v>2034</v>
      </c>
      <c r="I1034" s="1360" t="s">
        <v>2044</v>
      </c>
      <c r="J1034" s="1361" t="s">
        <v>2045</v>
      </c>
      <c r="K1034" s="1318">
        <v>0.9</v>
      </c>
      <c r="L1034" s="1362">
        <v>0</v>
      </c>
      <c r="M1034" s="1314">
        <v>0</v>
      </c>
      <c r="N1034" s="1314"/>
      <c r="O1034" s="1314"/>
      <c r="P1034" s="1319">
        <v>44252600</v>
      </c>
      <c r="Q1034" s="1307">
        <f t="shared" si="267"/>
        <v>0</v>
      </c>
      <c r="R1034" s="1319">
        <v>0</v>
      </c>
      <c r="S1034" s="1314"/>
      <c r="T1034" s="1319"/>
      <c r="U1034" s="1308"/>
      <c r="V1034" s="1319"/>
      <c r="W1034" s="1314"/>
      <c r="X1034" s="1314"/>
      <c r="Y1034" s="1309">
        <f t="shared" si="265"/>
        <v>0</v>
      </c>
      <c r="Z1034" s="1305">
        <f t="shared" si="265"/>
        <v>0</v>
      </c>
      <c r="AA1034" s="1310">
        <f t="shared" si="264"/>
        <v>0</v>
      </c>
      <c r="AB1034" s="1311">
        <f t="shared" si="264"/>
        <v>0</v>
      </c>
      <c r="AC1034" s="1312">
        <f t="shared" si="266"/>
        <v>0</v>
      </c>
      <c r="AD1034" s="1313" t="e">
        <f t="shared" si="268"/>
        <v>#DIV/0!</v>
      </c>
      <c r="AE1034" s="1314" t="s">
        <v>1938</v>
      </c>
    </row>
    <row r="1035" spans="1:31" s="1298" customFormat="1" ht="28.5" customHeight="1">
      <c r="A1035" s="1314"/>
      <c r="B1035" s="1314"/>
      <c r="C1035" s="1315">
        <v>1</v>
      </c>
      <c r="D1035" s="1315">
        <v>2</v>
      </c>
      <c r="E1035" s="1315">
        <v>12</v>
      </c>
      <c r="F1035" s="1315">
        <v>1</v>
      </c>
      <c r="G1035" s="1315"/>
      <c r="H1035" s="1315">
        <v>2</v>
      </c>
      <c r="I1035" s="1363" t="s">
        <v>2046</v>
      </c>
      <c r="J1035" s="1364"/>
      <c r="K1035" s="1318"/>
      <c r="L1035" s="1362"/>
      <c r="M1035" s="1320" t="s">
        <v>2047</v>
      </c>
      <c r="N1035" s="1314"/>
      <c r="O1035" s="1314"/>
      <c r="P1035" s="1314"/>
      <c r="Q1035" s="1307" t="e">
        <f t="shared" si="267"/>
        <v>#DIV/0!</v>
      </c>
      <c r="R1035" s="1319">
        <v>0</v>
      </c>
      <c r="S1035" s="1314"/>
      <c r="T1035" s="1319"/>
      <c r="U1035" s="1308"/>
      <c r="V1035" s="1314"/>
      <c r="W1035" s="1314"/>
      <c r="X1035" s="1314"/>
      <c r="Y1035" s="1309" t="e">
        <f t="shared" si="265"/>
        <v>#DIV/0!</v>
      </c>
      <c r="Z1035" s="1305">
        <f t="shared" si="265"/>
        <v>0</v>
      </c>
      <c r="AA1035" s="1310" t="e">
        <f t="shared" si="264"/>
        <v>#VALUE!</v>
      </c>
      <c r="AB1035" s="1311">
        <f t="shared" si="264"/>
        <v>0</v>
      </c>
      <c r="AC1035" s="1312" t="e">
        <f t="shared" si="266"/>
        <v>#DIV/0!</v>
      </c>
      <c r="AD1035" s="1313" t="e">
        <f t="shared" si="268"/>
        <v>#DIV/0!</v>
      </c>
      <c r="AE1035" s="1314" t="s">
        <v>1938</v>
      </c>
    </row>
    <row r="1036" spans="1:31" s="1298" customFormat="1" ht="43.5" customHeight="1">
      <c r="A1036" s="1314"/>
      <c r="B1036" s="1300" t="s">
        <v>2048</v>
      </c>
      <c r="C1036" s="1301" t="s">
        <v>146</v>
      </c>
      <c r="D1036" s="1301" t="s">
        <v>65</v>
      </c>
      <c r="E1036" s="1301" t="s">
        <v>160</v>
      </c>
      <c r="F1036" s="1301" t="s">
        <v>357</v>
      </c>
      <c r="G1036" s="1301"/>
      <c r="H1036" s="1302"/>
      <c r="I1036" s="1365" t="s">
        <v>2049</v>
      </c>
      <c r="J1036" s="1366"/>
      <c r="K1036" s="1304">
        <v>0.9</v>
      </c>
      <c r="L1036" s="1322">
        <f>SUM(L1037:L1038)</f>
        <v>225000000</v>
      </c>
      <c r="M1036" s="1322">
        <v>0</v>
      </c>
      <c r="N1036" s="1314">
        <v>0</v>
      </c>
      <c r="O1036" s="1322">
        <f>SUM(O1037:O1038)</f>
        <v>0</v>
      </c>
      <c r="P1036" s="1314"/>
      <c r="Q1036" s="1307" t="e">
        <f t="shared" si="267"/>
        <v>#DIV/0!</v>
      </c>
      <c r="R1036" s="1319">
        <v>0</v>
      </c>
      <c r="S1036" s="1314"/>
      <c r="T1036" s="1319"/>
      <c r="U1036" s="1308"/>
      <c r="V1036" s="1314"/>
      <c r="W1036" s="1314"/>
      <c r="X1036" s="1314"/>
      <c r="Y1036" s="1309" t="e">
        <f t="shared" si="265"/>
        <v>#DIV/0!</v>
      </c>
      <c r="Z1036" s="1305">
        <f t="shared" si="265"/>
        <v>0</v>
      </c>
      <c r="AA1036" s="1310" t="e">
        <f t="shared" si="264"/>
        <v>#DIV/0!</v>
      </c>
      <c r="AB1036" s="1311">
        <f t="shared" si="264"/>
        <v>0</v>
      </c>
      <c r="AC1036" s="1312" t="e">
        <f t="shared" si="266"/>
        <v>#DIV/0!</v>
      </c>
      <c r="AD1036" s="1313">
        <f t="shared" si="268"/>
        <v>0</v>
      </c>
      <c r="AE1036" s="1314" t="s">
        <v>1938</v>
      </c>
    </row>
    <row r="1037" spans="1:31" s="1298" customFormat="1" ht="47.25" customHeight="1">
      <c r="A1037" s="1314"/>
      <c r="B1037" s="1314"/>
      <c r="C1037" s="1315" t="s">
        <v>146</v>
      </c>
      <c r="D1037" s="1315" t="s">
        <v>65</v>
      </c>
      <c r="E1037" s="1315">
        <v>12</v>
      </c>
      <c r="F1037" s="1315" t="s">
        <v>357</v>
      </c>
      <c r="G1037" s="1315"/>
      <c r="H1037" s="1315" t="s">
        <v>146</v>
      </c>
      <c r="I1037" s="1367" t="s">
        <v>2050</v>
      </c>
      <c r="J1037" s="1368" t="s">
        <v>2051</v>
      </c>
      <c r="K1037" s="1318">
        <v>0.9</v>
      </c>
      <c r="L1037" s="1369">
        <v>100000000</v>
      </c>
      <c r="M1037" s="1314">
        <v>0</v>
      </c>
      <c r="N1037" s="1314">
        <v>0</v>
      </c>
      <c r="O1037" s="1314"/>
      <c r="P1037" s="1319">
        <v>0</v>
      </c>
      <c r="Q1037" s="1307" t="e">
        <f t="shared" si="267"/>
        <v>#DIV/0!</v>
      </c>
      <c r="R1037" s="1319">
        <v>0</v>
      </c>
      <c r="S1037" s="1314"/>
      <c r="T1037" s="1319"/>
      <c r="U1037" s="1308"/>
      <c r="V1037" s="1314"/>
      <c r="W1037" s="1314"/>
      <c r="X1037" s="1314"/>
      <c r="Y1037" s="1309" t="e">
        <f t="shared" si="265"/>
        <v>#DIV/0!</v>
      </c>
      <c r="Z1037" s="1305">
        <f t="shared" si="265"/>
        <v>0</v>
      </c>
      <c r="AA1037" s="1310" t="e">
        <f t="shared" si="264"/>
        <v>#DIV/0!</v>
      </c>
      <c r="AB1037" s="1311">
        <f t="shared" si="264"/>
        <v>0</v>
      </c>
      <c r="AC1037" s="1312" t="e">
        <f t="shared" si="266"/>
        <v>#DIV/0!</v>
      </c>
      <c r="AD1037" s="1313">
        <f t="shared" si="268"/>
        <v>0</v>
      </c>
      <c r="AE1037" s="1314" t="s">
        <v>1938</v>
      </c>
    </row>
    <row r="1038" spans="1:31" s="1298" customFormat="1" ht="45.75" customHeight="1">
      <c r="A1038" s="1314"/>
      <c r="B1038" s="1314"/>
      <c r="C1038" s="1315" t="s">
        <v>146</v>
      </c>
      <c r="D1038" s="1315" t="s">
        <v>65</v>
      </c>
      <c r="E1038" s="1315">
        <v>12</v>
      </c>
      <c r="F1038" s="1315" t="s">
        <v>357</v>
      </c>
      <c r="G1038" s="1315"/>
      <c r="H1038" s="1315" t="s">
        <v>146</v>
      </c>
      <c r="I1038" s="1367" t="s">
        <v>2052</v>
      </c>
      <c r="J1038" s="1368" t="s">
        <v>2053</v>
      </c>
      <c r="K1038" s="1318">
        <v>0.9</v>
      </c>
      <c r="L1038" s="1369">
        <v>125000000</v>
      </c>
      <c r="M1038" s="1314">
        <v>0</v>
      </c>
      <c r="N1038" s="1314"/>
      <c r="O1038" s="1314"/>
      <c r="P1038" s="1319"/>
      <c r="Q1038" s="1307" t="e">
        <f t="shared" si="267"/>
        <v>#DIV/0!</v>
      </c>
      <c r="R1038" s="1319"/>
      <c r="S1038" s="1314"/>
      <c r="T1038" s="1319"/>
      <c r="U1038" s="1308"/>
      <c r="V1038" s="1314"/>
      <c r="W1038" s="1314"/>
      <c r="X1038" s="1314"/>
      <c r="Y1038" s="1309" t="e">
        <f t="shared" si="265"/>
        <v>#DIV/0!</v>
      </c>
      <c r="Z1038" s="1305">
        <f t="shared" si="265"/>
        <v>0</v>
      </c>
      <c r="AA1038" s="1310" t="e">
        <f t="shared" si="264"/>
        <v>#DIV/0!</v>
      </c>
      <c r="AB1038" s="1311">
        <f t="shared" si="264"/>
        <v>0</v>
      </c>
      <c r="AC1038" s="1312" t="e">
        <f t="shared" si="266"/>
        <v>#DIV/0!</v>
      </c>
      <c r="AD1038" s="1313">
        <f t="shared" si="268"/>
        <v>0</v>
      </c>
      <c r="AE1038" s="1314" t="s">
        <v>1938</v>
      </c>
    </row>
    <row r="1039" spans="1:31" s="1298" customFormat="1" ht="28.5" customHeight="1">
      <c r="A1039" s="1314"/>
      <c r="B1039" s="1314"/>
      <c r="C1039" s="1315"/>
      <c r="D1039" s="1315"/>
      <c r="E1039" s="1315"/>
      <c r="F1039" s="1315"/>
      <c r="G1039" s="1315"/>
      <c r="H1039" s="1315"/>
      <c r="I1039" s="1365"/>
      <c r="J1039" s="1366"/>
      <c r="K1039" s="1314"/>
      <c r="L1039" s="1314"/>
      <c r="M1039" s="1314"/>
      <c r="N1039" s="1314"/>
      <c r="O1039" s="1314"/>
      <c r="P1039" s="1319"/>
      <c r="Q1039" s="1307"/>
      <c r="R1039" s="1319"/>
      <c r="S1039" s="1314"/>
      <c r="T1039" s="1314"/>
      <c r="U1039" s="1314"/>
      <c r="V1039" s="1314"/>
      <c r="W1039" s="1314"/>
      <c r="X1039" s="1314"/>
      <c r="Y1039" s="1309"/>
      <c r="Z1039" s="1314"/>
      <c r="AA1039" s="1314"/>
      <c r="AB1039" s="1311"/>
      <c r="AC1039" s="1312"/>
      <c r="AD1039" s="1313"/>
      <c r="AE1039" s="1314"/>
    </row>
    <row r="1040" spans="1:31" s="1298" customFormat="1" ht="28.5" customHeight="1">
      <c r="A1040" s="1314"/>
      <c r="B1040" s="1314"/>
      <c r="C1040" s="1315"/>
      <c r="D1040" s="1315"/>
      <c r="E1040" s="1315"/>
      <c r="F1040" s="1315"/>
      <c r="G1040" s="1315"/>
      <c r="H1040" s="1315"/>
      <c r="I1040" s="1365"/>
      <c r="J1040" s="1366"/>
      <c r="K1040" s="1314"/>
      <c r="L1040" s="1314"/>
      <c r="M1040" s="1314"/>
      <c r="N1040" s="1314"/>
      <c r="O1040" s="1314"/>
      <c r="P1040" s="1314"/>
      <c r="Q1040" s="1314"/>
      <c r="R1040" s="1314"/>
      <c r="S1040" s="1314"/>
      <c r="T1040" s="1314"/>
      <c r="U1040" s="1314"/>
      <c r="V1040" s="1314"/>
      <c r="W1040" s="1314"/>
      <c r="X1040" s="1314"/>
      <c r="Y1040" s="1314"/>
      <c r="Z1040" s="1314"/>
      <c r="AA1040" s="1314"/>
      <c r="AB1040" s="1314"/>
      <c r="AC1040" s="1312"/>
      <c r="AD1040" s="1313"/>
      <c r="AE1040" s="1314"/>
    </row>
    <row r="1041" spans="1:62" s="1298" customFormat="1" ht="28.5" customHeight="1">
      <c r="A1041" s="1314"/>
      <c r="B1041" s="1314"/>
      <c r="C1041" s="1315"/>
      <c r="D1041" s="1315"/>
      <c r="E1041" s="1315"/>
      <c r="F1041" s="1315"/>
      <c r="G1041" s="1315"/>
      <c r="H1041" s="1315"/>
      <c r="I1041" s="1370"/>
      <c r="J1041" s="1366"/>
      <c r="K1041" s="1314"/>
      <c r="L1041" s="1314"/>
      <c r="M1041" s="1314"/>
      <c r="N1041" s="1319"/>
      <c r="O1041" s="1314"/>
      <c r="P1041" s="1314"/>
      <c r="Q1041" s="1314"/>
      <c r="R1041" s="1314"/>
      <c r="S1041" s="1314"/>
      <c r="T1041" s="1314"/>
      <c r="U1041" s="1314"/>
      <c r="V1041" s="1314"/>
      <c r="W1041" s="1314"/>
      <c r="X1041" s="1314"/>
      <c r="Y1041" s="1314"/>
      <c r="Z1041" s="1314"/>
      <c r="AA1041" s="1314"/>
      <c r="AB1041" s="1314"/>
      <c r="AC1041" s="1312">
        <f t="shared" si="266"/>
        <v>0</v>
      </c>
      <c r="AD1041" s="1314"/>
      <c r="AE1041" s="1314"/>
    </row>
    <row r="1042" spans="1:62" s="1298" customFormat="1" ht="15" thickBot="1">
      <c r="A1042" s="1314"/>
      <c r="B1042" s="1314"/>
      <c r="C1042" s="1323"/>
      <c r="D1042" s="1323"/>
      <c r="E1042" s="1323"/>
      <c r="F1042" s="1323"/>
      <c r="G1042" s="1323"/>
      <c r="H1042" s="1323"/>
      <c r="I1042" s="1371"/>
      <c r="J1042" s="1372"/>
      <c r="K1042" s="1314"/>
      <c r="L1042" s="1314"/>
      <c r="M1042" s="1314"/>
      <c r="N1042" s="1319"/>
      <c r="O1042" s="1314"/>
      <c r="P1042" s="1314"/>
      <c r="Q1042" s="1314"/>
      <c r="R1042" s="1314"/>
      <c r="S1042" s="1314"/>
      <c r="T1042" s="1314"/>
      <c r="U1042" s="1314"/>
      <c r="V1042" s="1314"/>
      <c r="W1042" s="1314"/>
      <c r="X1042" s="1314"/>
      <c r="Y1042" s="1314"/>
      <c r="Z1042" s="1314"/>
      <c r="AA1042" s="1314"/>
      <c r="AB1042" s="1314"/>
      <c r="AC1042" s="1312">
        <f t="shared" si="266"/>
        <v>0</v>
      </c>
      <c r="AD1042" s="1314"/>
      <c r="AE1042" s="1314"/>
    </row>
    <row r="1043" spans="1:62" s="1298" customFormat="1" ht="24" customHeight="1" thickBot="1">
      <c r="A1043" s="2527" t="s">
        <v>2054</v>
      </c>
      <c r="B1043" s="2527"/>
      <c r="C1043" s="2527"/>
      <c r="D1043" s="2527"/>
      <c r="E1043" s="2527"/>
      <c r="F1043" s="2527"/>
      <c r="G1043" s="2527"/>
      <c r="H1043" s="2527"/>
      <c r="I1043" s="2527"/>
      <c r="J1043" s="2527"/>
      <c r="K1043" s="2527"/>
      <c r="L1043" s="2527"/>
      <c r="M1043" s="2527"/>
      <c r="N1043" s="2527"/>
      <c r="O1043" s="2527"/>
      <c r="P1043" s="2527"/>
      <c r="Q1043" s="2527"/>
      <c r="R1043" s="2527"/>
      <c r="S1043" s="2527"/>
      <c r="T1043" s="2527"/>
      <c r="U1043" s="2527"/>
      <c r="V1043" s="2527"/>
      <c r="W1043" s="2527"/>
      <c r="X1043" s="2527"/>
      <c r="Y1043" s="2527"/>
      <c r="Z1043" s="2527"/>
      <c r="AA1043" s="2527"/>
      <c r="AB1043" s="2527"/>
      <c r="AC1043" s="2527"/>
      <c r="AD1043" s="2527"/>
      <c r="AE1043" s="2527"/>
    </row>
    <row r="1044" spans="1:62" s="1298" customFormat="1" ht="20.25" customHeight="1" thickBot="1">
      <c r="A1044" s="2527" t="s">
        <v>2055</v>
      </c>
      <c r="B1044" s="2527"/>
      <c r="C1044" s="2527"/>
      <c r="D1044" s="2527"/>
      <c r="E1044" s="2527"/>
      <c r="F1044" s="2527"/>
      <c r="G1044" s="2527"/>
      <c r="H1044" s="2527"/>
      <c r="I1044" s="2527"/>
      <c r="J1044" s="2527"/>
      <c r="K1044" s="2527"/>
      <c r="L1044" s="2527"/>
      <c r="M1044" s="2527"/>
      <c r="N1044" s="2527"/>
      <c r="O1044" s="2527"/>
      <c r="P1044" s="2527"/>
      <c r="Q1044" s="2527"/>
      <c r="R1044" s="2527"/>
      <c r="S1044" s="2527"/>
      <c r="T1044" s="2527"/>
      <c r="U1044" s="2527"/>
      <c r="V1044" s="2527"/>
      <c r="W1044" s="2527"/>
      <c r="X1044" s="2527"/>
      <c r="Y1044" s="2527"/>
      <c r="Z1044" s="2527"/>
      <c r="AA1044" s="2527"/>
      <c r="AB1044" s="2527"/>
      <c r="AC1044" s="2527"/>
      <c r="AD1044" s="2527"/>
      <c r="AE1044" s="2527"/>
    </row>
    <row r="1045" spans="1:62" s="1298" customFormat="1" ht="18.75" customHeight="1" thickBot="1">
      <c r="A1045" s="2527" t="s">
        <v>2056</v>
      </c>
      <c r="B1045" s="2527"/>
      <c r="C1045" s="2527"/>
      <c r="D1045" s="2527"/>
      <c r="E1045" s="2527"/>
      <c r="F1045" s="2527"/>
      <c r="G1045" s="2527"/>
      <c r="H1045" s="2527"/>
      <c r="I1045" s="2527"/>
      <c r="J1045" s="2527"/>
      <c r="K1045" s="2527"/>
      <c r="L1045" s="2527"/>
      <c r="M1045" s="2527"/>
      <c r="N1045" s="2527"/>
      <c r="O1045" s="2527"/>
      <c r="P1045" s="2527"/>
      <c r="Q1045" s="2527"/>
      <c r="R1045" s="2527"/>
      <c r="S1045" s="2527"/>
      <c r="T1045" s="2527"/>
      <c r="U1045" s="2527"/>
      <c r="V1045" s="2527"/>
      <c r="W1045" s="2527"/>
      <c r="X1045" s="2527"/>
      <c r="Y1045" s="2527"/>
      <c r="Z1045" s="2527"/>
      <c r="AA1045" s="2527"/>
      <c r="AB1045" s="2527"/>
      <c r="AC1045" s="2527"/>
      <c r="AD1045" s="2527"/>
      <c r="AE1045" s="2527"/>
    </row>
    <row r="1046" spans="1:62" s="1298" customFormat="1" ht="24" customHeight="1" thickBot="1">
      <c r="A1046" s="2527" t="s">
        <v>2057</v>
      </c>
      <c r="B1046" s="2527"/>
      <c r="C1046" s="2527"/>
      <c r="D1046" s="2527"/>
      <c r="E1046" s="2527"/>
      <c r="F1046" s="2527"/>
      <c r="G1046" s="2527"/>
      <c r="H1046" s="2527"/>
      <c r="I1046" s="2527"/>
      <c r="J1046" s="2527"/>
      <c r="K1046" s="2527"/>
      <c r="L1046" s="2527"/>
      <c r="M1046" s="2527"/>
      <c r="N1046" s="2527"/>
      <c r="O1046" s="2527"/>
      <c r="P1046" s="2527"/>
      <c r="Q1046" s="2527"/>
      <c r="R1046" s="2527"/>
      <c r="S1046" s="2527"/>
      <c r="T1046" s="2527"/>
      <c r="U1046" s="2527"/>
      <c r="V1046" s="2527"/>
      <c r="W1046" s="2527"/>
      <c r="X1046" s="2527"/>
      <c r="Y1046" s="2527"/>
      <c r="Z1046" s="2527"/>
      <c r="AA1046" s="2527"/>
      <c r="AB1046" s="2527"/>
      <c r="AC1046" s="2527"/>
      <c r="AD1046" s="2527"/>
      <c r="AE1046" s="2527"/>
    </row>
    <row r="1047" spans="1:62" s="75" customFormat="1">
      <c r="A1047" s="77"/>
      <c r="B1047" s="77"/>
      <c r="C1047" s="81"/>
      <c r="D1047" s="81"/>
      <c r="E1047" s="81"/>
      <c r="F1047" s="81"/>
      <c r="G1047" s="81"/>
      <c r="H1047" s="82"/>
      <c r="I1047" s="83"/>
      <c r="J1047" s="84"/>
      <c r="K1047" s="85"/>
      <c r="L1047" s="86"/>
      <c r="M1047" s="87"/>
      <c r="N1047" s="77"/>
      <c r="O1047" s="77"/>
      <c r="P1047" s="77"/>
      <c r="Q1047" s="88"/>
      <c r="R1047" s="78"/>
      <c r="S1047" s="77"/>
      <c r="T1047" s="78"/>
      <c r="U1047" s="89"/>
      <c r="V1047" s="77"/>
      <c r="W1047" s="77"/>
      <c r="X1047" s="77"/>
      <c r="Y1047" s="566"/>
      <c r="Z1047" s="90"/>
      <c r="AA1047" s="91"/>
      <c r="AB1047" s="92"/>
      <c r="AC1047" s="79"/>
      <c r="AD1047" s="93"/>
      <c r="AE1047" s="77"/>
    </row>
    <row r="1048" spans="1:62" s="69" customFormat="1" ht="33.75" customHeight="1">
      <c r="A1048" s="74">
        <v>19</v>
      </c>
      <c r="B1048" s="74"/>
      <c r="C1048" s="74"/>
      <c r="D1048" s="74"/>
      <c r="E1048" s="74"/>
      <c r="F1048" s="74"/>
      <c r="G1048" s="74"/>
      <c r="H1048" s="74"/>
      <c r="I1048" s="76" t="s">
        <v>169</v>
      </c>
      <c r="J1048" s="74"/>
      <c r="K1048" s="74"/>
      <c r="L1048" s="74"/>
      <c r="M1048" s="74"/>
      <c r="N1048" s="74"/>
      <c r="O1048" s="74"/>
      <c r="P1048" s="74"/>
      <c r="Q1048" s="74"/>
      <c r="R1048" s="74"/>
      <c r="S1048" s="74"/>
      <c r="T1048" s="74"/>
      <c r="U1048" s="74"/>
      <c r="V1048" s="74"/>
      <c r="W1048" s="74"/>
      <c r="X1048" s="74"/>
      <c r="Y1048" s="564"/>
      <c r="Z1048" s="74"/>
      <c r="AA1048" s="74"/>
      <c r="AB1048" s="74"/>
      <c r="AC1048" s="74"/>
      <c r="AD1048" s="74"/>
      <c r="AE1048" s="74"/>
    </row>
    <row r="1049" spans="1:62" s="75" customFormat="1" ht="18.75" customHeight="1">
      <c r="A1049" s="1678">
        <v>1</v>
      </c>
      <c r="B1049" s="1679"/>
      <c r="C1049" s="1680">
        <v>3</v>
      </c>
      <c r="D1049" s="1681" t="s">
        <v>107</v>
      </c>
      <c r="E1049" s="1682" t="s">
        <v>95</v>
      </c>
      <c r="F1049" s="1681" t="s">
        <v>66</v>
      </c>
      <c r="G1049" s="1681" t="s">
        <v>66</v>
      </c>
      <c r="H1049" s="1683"/>
      <c r="I1049" s="2521" t="s">
        <v>221</v>
      </c>
      <c r="J1049" s="2522"/>
      <c r="K1049" s="1679">
        <f t="shared" ref="K1049:R1049" si="269">SUM(K1050:K1061)</f>
        <v>7200</v>
      </c>
      <c r="L1049" s="1684">
        <f t="shared" si="269"/>
        <v>3254776316</v>
      </c>
      <c r="M1049" s="1679">
        <f t="shared" si="269"/>
        <v>1569.6919803555852</v>
      </c>
      <c r="N1049" s="1684">
        <f t="shared" si="269"/>
        <v>1254804777</v>
      </c>
      <c r="O1049" s="1679">
        <f t="shared" si="269"/>
        <v>1200</v>
      </c>
      <c r="P1049" s="1684">
        <f t="shared" si="269"/>
        <v>475364398</v>
      </c>
      <c r="Q1049" s="1685">
        <f t="shared" si="269"/>
        <v>356.19560993271921</v>
      </c>
      <c r="R1049" s="1684">
        <f t="shared" si="269"/>
        <v>159618971</v>
      </c>
      <c r="S1049" s="1679"/>
      <c r="T1049" s="1679"/>
      <c r="U1049" s="1679"/>
      <c r="V1049" s="1679"/>
      <c r="W1049" s="1679"/>
      <c r="X1049" s="1679"/>
      <c r="Y1049" s="1685">
        <f>SUM(Y1050:Y1061)</f>
        <v>356.19560993271921</v>
      </c>
      <c r="Z1049" s="1684">
        <f>SUM(Z1050:Z1061)</f>
        <v>159618971</v>
      </c>
      <c r="AA1049" s="1685">
        <f>Y1049+M1049</f>
        <v>1925.8875902883044</v>
      </c>
      <c r="AB1049" s="1684">
        <f>Z1049+N1049</f>
        <v>1414423748</v>
      </c>
      <c r="AC1049" s="1660">
        <f>AA1049/K1049*100</f>
        <v>26.748438754004226</v>
      </c>
      <c r="AD1049" s="1659">
        <f>AB1049/L1049*100</f>
        <v>43.456864947889095</v>
      </c>
      <c r="AE1049" s="1661" t="s">
        <v>2418</v>
      </c>
      <c r="AF1049" s="77"/>
      <c r="AG1049" s="77"/>
      <c r="AH1049" s="81"/>
      <c r="AI1049" s="81"/>
      <c r="AJ1049" s="81"/>
      <c r="AK1049" s="81"/>
      <c r="AL1049" s="81"/>
      <c r="AM1049" s="82"/>
      <c r="AN1049" s="83"/>
      <c r="AO1049" s="84"/>
      <c r="AP1049" s="85"/>
      <c r="AQ1049" s="86"/>
      <c r="AR1049" s="87"/>
      <c r="AS1049" s="77"/>
      <c r="AT1049" s="77"/>
      <c r="AU1049" s="77"/>
      <c r="AV1049" s="88"/>
      <c r="AW1049" s="78"/>
      <c r="AX1049" s="77"/>
      <c r="AY1049" s="78"/>
      <c r="AZ1049" s="89"/>
      <c r="BA1049" s="77"/>
      <c r="BB1049" s="77"/>
      <c r="BC1049" s="77"/>
      <c r="BD1049" s="566"/>
      <c r="BE1049" s="90"/>
      <c r="BF1049" s="91"/>
      <c r="BG1049" s="92"/>
      <c r="BH1049" s="79"/>
      <c r="BI1049" s="93"/>
      <c r="BJ1049" s="77"/>
    </row>
    <row r="1050" spans="1:62" s="69" customFormat="1" ht="31.5" customHeight="1">
      <c r="A1050" s="1686"/>
      <c r="B1050" s="1687" t="s">
        <v>2419</v>
      </c>
      <c r="C1050" s="248"/>
      <c r="D1050" s="247"/>
      <c r="E1050" s="238"/>
      <c r="F1050" s="247"/>
      <c r="G1050" s="247"/>
      <c r="H1050" s="1688"/>
      <c r="I1050" s="1414" t="s">
        <v>2420</v>
      </c>
      <c r="J1050" s="1414" t="s">
        <v>2421</v>
      </c>
      <c r="K1050" s="729">
        <v>600</v>
      </c>
      <c r="L1050" s="1689">
        <v>56355000</v>
      </c>
      <c r="M1050" s="64">
        <v>200</v>
      </c>
      <c r="N1050" s="1689">
        <v>9999000</v>
      </c>
      <c r="O1050" s="64">
        <v>100</v>
      </c>
      <c r="P1050" s="1690">
        <f>'[1]April 2018'!$E$16</f>
        <v>11589000</v>
      </c>
      <c r="Q1050" s="1691">
        <f>'[1]April 2018'!$I$15</f>
        <v>32.228837690913799</v>
      </c>
      <c r="R1050" s="1690">
        <f>'[1]April 2018'!$H$16</f>
        <v>3735000</v>
      </c>
      <c r="S1050" s="1692"/>
      <c r="T1050" s="1692"/>
      <c r="U1050" s="1692"/>
      <c r="V1050" s="1692"/>
      <c r="W1050" s="1692"/>
      <c r="X1050" s="1692"/>
      <c r="Y1050" s="1691">
        <f>'[1]April 2018'!$I$15</f>
        <v>32.228837690913799</v>
      </c>
      <c r="Z1050" s="1690">
        <f>'[1]April 2018'!$H$16</f>
        <v>3735000</v>
      </c>
      <c r="AA1050" s="1691">
        <f>Y1050+M1050</f>
        <v>232.22883769091379</v>
      </c>
      <c r="AB1050" s="1690">
        <f>N1050+Z1050</f>
        <v>13734000</v>
      </c>
      <c r="AC1050" s="1663">
        <f>AA1050/K1050*100</f>
        <v>38.704806281818968</v>
      </c>
      <c r="AD1050" s="18">
        <f>AB1050/L1050*100</f>
        <v>24.370508384349215</v>
      </c>
      <c r="AE1050" s="18" t="s">
        <v>2418</v>
      </c>
      <c r="AF1050" s="109">
        <v>20</v>
      </c>
      <c r="AG1050" s="109"/>
      <c r="AH1050" s="109"/>
      <c r="AI1050" s="109"/>
      <c r="AJ1050" s="109"/>
      <c r="AK1050" s="109"/>
      <c r="AL1050" s="109"/>
      <c r="AM1050" s="109"/>
      <c r="AN1050" s="110" t="s">
        <v>170</v>
      </c>
      <c r="AO1050" s="109"/>
      <c r="AP1050" s="109"/>
      <c r="AQ1050" s="109"/>
      <c r="AR1050" s="109"/>
      <c r="AS1050" s="109"/>
      <c r="AT1050" s="109"/>
      <c r="AU1050" s="109"/>
      <c r="AV1050" s="109"/>
      <c r="AW1050" s="109"/>
      <c r="AX1050" s="109"/>
      <c r="AY1050" s="109"/>
      <c r="AZ1050" s="109"/>
      <c r="BA1050" s="109"/>
      <c r="BB1050" s="109"/>
      <c r="BC1050" s="109"/>
      <c r="BD1050" s="567"/>
      <c r="BE1050" s="109"/>
      <c r="BF1050" s="109"/>
      <c r="BG1050" s="109"/>
      <c r="BH1050" s="109"/>
      <c r="BI1050" s="109"/>
      <c r="BJ1050" s="109"/>
    </row>
    <row r="1051" spans="1:62" s="145" customFormat="1" ht="89.25">
      <c r="A1051" s="1692"/>
      <c r="B1051" s="1693"/>
      <c r="C1051" s="1692"/>
      <c r="D1051" s="1692"/>
      <c r="E1051" s="1692"/>
      <c r="F1051" s="1692"/>
      <c r="G1051" s="1692"/>
      <c r="H1051" s="1692"/>
      <c r="I1051" s="1414" t="s">
        <v>1283</v>
      </c>
      <c r="J1051" s="1414" t="s">
        <v>1284</v>
      </c>
      <c r="K1051" s="729">
        <v>600</v>
      </c>
      <c r="L1051" s="1694">
        <v>309900000</v>
      </c>
      <c r="M1051" s="1695" t="s">
        <v>2422</v>
      </c>
      <c r="N1051" s="1689">
        <v>75563339</v>
      </c>
      <c r="O1051" s="64">
        <v>100</v>
      </c>
      <c r="P1051" s="1690">
        <f>'[1]April 2018'!$E$19</f>
        <v>52800000</v>
      </c>
      <c r="Q1051" s="1691">
        <f>'[1]April 2018'!$I$19</f>
        <v>24.733240530303028</v>
      </c>
      <c r="R1051" s="1690">
        <f>'[1]April 2018'!$H$19</f>
        <v>13059151</v>
      </c>
      <c r="S1051" s="1692"/>
      <c r="T1051" s="1692"/>
      <c r="U1051" s="1692"/>
      <c r="V1051" s="1692"/>
      <c r="W1051" s="1692"/>
      <c r="X1051" s="1692"/>
      <c r="Y1051" s="1691">
        <f>'[1]April 2018'!$I$19</f>
        <v>24.733240530303028</v>
      </c>
      <c r="Z1051" s="1690">
        <f>'[1]April 2018'!$H$19</f>
        <v>13059151</v>
      </c>
      <c r="AA1051" s="1691">
        <f t="shared" ref="AA1051:AA1061" si="270">Y1051+M1051</f>
        <v>181.11324053030302</v>
      </c>
      <c r="AB1051" s="1690">
        <f t="shared" ref="AB1051:AB1061" si="271">N1051+Z1051</f>
        <v>88622490</v>
      </c>
      <c r="AC1051" s="1663">
        <f t="shared" ref="AC1051:AD1064" si="272">AA1051/K1051*100</f>
        <v>30.185540088383839</v>
      </c>
      <c r="AD1051" s="18">
        <f t="shared" si="272"/>
        <v>28.597124878993224</v>
      </c>
      <c r="AE1051" s="18" t="s">
        <v>2418</v>
      </c>
      <c r="AF1051" s="2461"/>
      <c r="AG1051" s="2339" t="s">
        <v>685</v>
      </c>
      <c r="AH1051" s="627">
        <v>1</v>
      </c>
      <c r="AI1051" s="627" t="s">
        <v>65</v>
      </c>
      <c r="AJ1051" s="623">
        <v>10</v>
      </c>
      <c r="AK1051" s="627" t="s">
        <v>66</v>
      </c>
      <c r="AL1051" s="627">
        <v>19</v>
      </c>
      <c r="AM1051" s="627"/>
      <c r="AN1051" s="383" t="s">
        <v>651</v>
      </c>
      <c r="AO1051" s="383" t="s">
        <v>686</v>
      </c>
      <c r="AP1051" s="383">
        <v>24</v>
      </c>
      <c r="AQ1051" s="628">
        <f>SUM(AQ1052:AQ1054)</f>
        <v>212642</v>
      </c>
      <c r="AR1051" s="383">
        <v>8</v>
      </c>
      <c r="AS1051" s="628">
        <f>SUM(AS1052:AS1054)</f>
        <v>114778</v>
      </c>
      <c r="AT1051" s="383">
        <v>4</v>
      </c>
      <c r="AU1051" s="628">
        <f>AU1052+AU1054</f>
        <v>159184</v>
      </c>
      <c r="AV1051" s="383">
        <v>1</v>
      </c>
      <c r="AW1051" s="628">
        <v>15954</v>
      </c>
      <c r="AX1051" s="383"/>
      <c r="AY1051" s="383"/>
      <c r="AZ1051" s="383"/>
      <c r="BA1051" s="383"/>
      <c r="BB1051" s="383"/>
      <c r="BC1051" s="383"/>
      <c r="BD1051" s="383"/>
      <c r="BE1051" s="628"/>
      <c r="BF1051" s="630">
        <f>AR1051+BD1051</f>
        <v>8</v>
      </c>
      <c r="BG1051" s="632">
        <f>AS1051+BE1051</f>
        <v>114778</v>
      </c>
      <c r="BH1051" s="626">
        <f>(BF1051/AP1051)*100</f>
        <v>33.333333333333329</v>
      </c>
      <c r="BI1051" s="622">
        <f>BG1051/AQ1051*100%</f>
        <v>0.53977107062574659</v>
      </c>
      <c r="BJ1051" s="616" t="s">
        <v>612</v>
      </c>
    </row>
    <row r="1052" spans="1:62" s="63" customFormat="1" ht="63.75">
      <c r="A1052" s="1692"/>
      <c r="B1052" s="1687"/>
      <c r="C1052" s="1692"/>
      <c r="D1052" s="1692"/>
      <c r="E1052" s="1692"/>
      <c r="F1052" s="1692"/>
      <c r="G1052" s="1692"/>
      <c r="H1052" s="1692"/>
      <c r="I1052" s="1414" t="s">
        <v>1287</v>
      </c>
      <c r="J1052" s="1414" t="s">
        <v>2423</v>
      </c>
      <c r="K1052" s="729">
        <v>600</v>
      </c>
      <c r="L1052" s="1689">
        <v>451800000</v>
      </c>
      <c r="M1052" s="1695" t="s">
        <v>2424</v>
      </c>
      <c r="N1052" s="1689">
        <v>127200000</v>
      </c>
      <c r="O1052" s="64">
        <v>100</v>
      </c>
      <c r="P1052" s="1690">
        <f>'[1]April 2018'!$E$22</f>
        <v>79800000</v>
      </c>
      <c r="Q1052" s="1691">
        <f>'[1]April 2018'!$I$22</f>
        <v>27.443609022556391</v>
      </c>
      <c r="R1052" s="1690">
        <f>'[1]April 2018'!$H$22</f>
        <v>21900000</v>
      </c>
      <c r="S1052" s="1692"/>
      <c r="T1052" s="1692"/>
      <c r="U1052" s="1692"/>
      <c r="V1052" s="1692"/>
      <c r="W1052" s="1692"/>
      <c r="X1052" s="1692"/>
      <c r="Y1052" s="1691">
        <f>'[1]April 2018'!$I$22</f>
        <v>27.443609022556391</v>
      </c>
      <c r="Z1052" s="1690">
        <f>'[1]April 2018'!$H$22</f>
        <v>21900000</v>
      </c>
      <c r="AA1052" s="1691">
        <f t="shared" si="270"/>
        <v>219.33360902255637</v>
      </c>
      <c r="AB1052" s="1690">
        <f t="shared" si="271"/>
        <v>149100000</v>
      </c>
      <c r="AC1052" s="1663">
        <f t="shared" si="272"/>
        <v>36.555601503759391</v>
      </c>
      <c r="AD1052" s="18">
        <f t="shared" si="272"/>
        <v>33.001328021248341</v>
      </c>
      <c r="AE1052" s="18" t="s">
        <v>2418</v>
      </c>
      <c r="AF1052" s="2462"/>
      <c r="AG1052" s="2340"/>
      <c r="AH1052" s="1900">
        <v>1</v>
      </c>
      <c r="AI1052" s="1900" t="s">
        <v>65</v>
      </c>
      <c r="AJ1052" s="1905">
        <v>10</v>
      </c>
      <c r="AK1052" s="1900" t="s">
        <v>66</v>
      </c>
      <c r="AL1052" s="1900">
        <v>19</v>
      </c>
      <c r="AM1052" s="1900">
        <v>21</v>
      </c>
      <c r="AN1052" s="384" t="s">
        <v>687</v>
      </c>
      <c r="AO1052" s="384" t="s">
        <v>688</v>
      </c>
      <c r="AP1052" s="384">
        <f>45*5</f>
        <v>225</v>
      </c>
      <c r="AQ1052" s="590">
        <v>86215</v>
      </c>
      <c r="AR1052" s="384">
        <v>0</v>
      </c>
      <c r="AS1052" s="590">
        <v>0</v>
      </c>
      <c r="AT1052" s="384">
        <v>45</v>
      </c>
      <c r="AU1052" s="590">
        <v>86215</v>
      </c>
      <c r="AV1052" s="384">
        <v>0</v>
      </c>
      <c r="AW1052" s="590">
        <v>0</v>
      </c>
      <c r="AX1052" s="384"/>
      <c r="AY1052" s="384"/>
      <c r="AZ1052" s="384"/>
      <c r="BA1052" s="384"/>
      <c r="BB1052" s="384"/>
      <c r="BC1052" s="384"/>
      <c r="BD1052" s="384"/>
      <c r="BE1052" s="590"/>
      <c r="BF1052" s="59"/>
      <c r="BG1052" s="60">
        <f>AS1052+BE1052</f>
        <v>0</v>
      </c>
      <c r="BH1052" s="1909">
        <f>(BF1052/AP1052)*100</f>
        <v>0</v>
      </c>
      <c r="BI1052" s="598">
        <f>BG1052/AQ1052*100%</f>
        <v>0</v>
      </c>
      <c r="BJ1052" s="385" t="s">
        <v>612</v>
      </c>
    </row>
    <row r="1053" spans="1:62" s="63" customFormat="1" ht="63.75">
      <c r="A1053" s="1692"/>
      <c r="B1053" s="1696"/>
      <c r="C1053" s="1692"/>
      <c r="D1053" s="1692"/>
      <c r="E1053" s="1692"/>
      <c r="F1053" s="1692"/>
      <c r="G1053" s="1692"/>
      <c r="H1053" s="1692"/>
      <c r="I1053" s="1414" t="s">
        <v>149</v>
      </c>
      <c r="J1053" s="1697" t="s">
        <v>1289</v>
      </c>
      <c r="K1053" s="729">
        <v>600</v>
      </c>
      <c r="L1053" s="1689">
        <v>259514000</v>
      </c>
      <c r="M1053" s="1695" t="s">
        <v>2425</v>
      </c>
      <c r="N1053" s="1689">
        <v>97814000</v>
      </c>
      <c r="O1053" s="64">
        <v>100</v>
      </c>
      <c r="P1053" s="1690">
        <f>'[1]April 2018'!$E$24</f>
        <v>40229350</v>
      </c>
      <c r="Q1053" s="1691">
        <f>'[1]April 2018'!$I$24</f>
        <v>32.50238942463649</v>
      </c>
      <c r="R1053" s="1690">
        <f>'[1]April 2018'!$H$24</f>
        <v>13075500</v>
      </c>
      <c r="S1053" s="1692"/>
      <c r="T1053" s="1692"/>
      <c r="U1053" s="1692"/>
      <c r="V1053" s="1692"/>
      <c r="W1053" s="1692"/>
      <c r="X1053" s="1692"/>
      <c r="Y1053" s="1691">
        <f>'[1]April 2018'!$I$24</f>
        <v>32.50238942463649</v>
      </c>
      <c r="Z1053" s="1690">
        <f>'[1]April 2018'!$H$24</f>
        <v>13075500</v>
      </c>
      <c r="AA1053" s="1691">
        <f t="shared" si="270"/>
        <v>231.11238942463649</v>
      </c>
      <c r="AB1053" s="1690">
        <f t="shared" si="271"/>
        <v>110889500</v>
      </c>
      <c r="AC1053" s="1663">
        <f t="shared" si="272"/>
        <v>38.518731570772744</v>
      </c>
      <c r="AD1053" s="18">
        <f t="shared" si="272"/>
        <v>42.729679323658836</v>
      </c>
      <c r="AE1053" s="18" t="s">
        <v>2418</v>
      </c>
      <c r="AF1053" s="2461"/>
      <c r="AG1053" s="2461"/>
      <c r="AH1053" s="1905">
        <v>1</v>
      </c>
      <c r="AI1053" s="1905" t="s">
        <v>65</v>
      </c>
      <c r="AJ1053" s="1905">
        <v>10</v>
      </c>
      <c r="AK1053" s="1905" t="s">
        <v>66</v>
      </c>
      <c r="AL1053" s="1905">
        <v>19</v>
      </c>
      <c r="AM1053" s="1905">
        <v>21</v>
      </c>
      <c r="AN1053" s="384" t="s">
        <v>689</v>
      </c>
      <c r="AO1053" s="384" t="s">
        <v>690</v>
      </c>
      <c r="AP1053" s="597">
        <f>250*5</f>
        <v>1250</v>
      </c>
      <c r="AQ1053" s="386">
        <v>72969</v>
      </c>
      <c r="AR1053" s="385">
        <v>250</v>
      </c>
      <c r="AS1053" s="386">
        <v>57389</v>
      </c>
      <c r="AT1053" s="385">
        <v>0</v>
      </c>
      <c r="AU1053" s="386">
        <v>72969</v>
      </c>
      <c r="AV1053" s="385">
        <v>0</v>
      </c>
      <c r="AW1053" s="387">
        <v>1000</v>
      </c>
      <c r="AX1053" s="385"/>
      <c r="AY1053" s="385"/>
      <c r="AZ1053" s="385"/>
      <c r="BA1053" s="385"/>
      <c r="BB1053" s="385"/>
      <c r="BC1053" s="385"/>
      <c r="BD1053" s="385">
        <f>AV1053+AX1053+AZ1053+BB1053</f>
        <v>0</v>
      </c>
      <c r="BE1053" s="387">
        <f>SUM(BE1054:BE1054)</f>
        <v>0</v>
      </c>
      <c r="BF1053" s="385">
        <f>AR1053+BD1053</f>
        <v>250</v>
      </c>
      <c r="BG1053" s="386">
        <v>0</v>
      </c>
      <c r="BH1053" s="389">
        <f>(BF1053/AP1053)*100</f>
        <v>20</v>
      </c>
      <c r="BI1053" s="389">
        <f>(BG1053/AQ1053)*100</f>
        <v>0</v>
      </c>
      <c r="BJ1053" s="385" t="s">
        <v>612</v>
      </c>
    </row>
    <row r="1054" spans="1:62" s="63" customFormat="1" ht="89.25">
      <c r="A1054" s="1692"/>
      <c r="B1054" s="1696"/>
      <c r="C1054" s="1692"/>
      <c r="D1054" s="1692"/>
      <c r="E1054" s="1692"/>
      <c r="F1054" s="1692"/>
      <c r="G1054" s="1692"/>
      <c r="H1054" s="1692"/>
      <c r="I1054" s="1414" t="str">
        <f>'[1]April 2018'!$C$28</f>
        <v>Penyediaan Jasa Perbaikan Peralatan Kerja</v>
      </c>
      <c r="J1054" s="1697" t="s">
        <v>2426</v>
      </c>
      <c r="K1054" s="729">
        <v>600</v>
      </c>
      <c r="L1054" s="1689">
        <v>128883000</v>
      </c>
      <c r="M1054" s="1695" t="s">
        <v>2427</v>
      </c>
      <c r="N1054" s="1689">
        <v>52947500</v>
      </c>
      <c r="O1054" s="64">
        <v>100</v>
      </c>
      <c r="P1054" s="1690">
        <f>'[1]April 2018'!$E$29</f>
        <v>18968000</v>
      </c>
      <c r="Q1054" s="1691">
        <f>'[1]April 2018'!$I$28</f>
        <v>13.190215099114297</v>
      </c>
      <c r="R1054" s="1690">
        <f>'[1]April 2018'!$H$28</f>
        <v>2501920</v>
      </c>
      <c r="S1054" s="1692"/>
      <c r="T1054" s="1692"/>
      <c r="U1054" s="1692"/>
      <c r="V1054" s="1692"/>
      <c r="W1054" s="1692"/>
      <c r="X1054" s="1692"/>
      <c r="Y1054" s="1691">
        <f>'[1]April 2018'!$I$28</f>
        <v>13.190215099114297</v>
      </c>
      <c r="Z1054" s="1690">
        <f>'[1]April 2018'!$H$28</f>
        <v>2501920</v>
      </c>
      <c r="AA1054" s="1691">
        <f t="shared" si="270"/>
        <v>212.96021509911429</v>
      </c>
      <c r="AB1054" s="1690">
        <f t="shared" si="271"/>
        <v>55449420</v>
      </c>
      <c r="AC1054" s="1663">
        <f t="shared" si="272"/>
        <v>35.493369183185713</v>
      </c>
      <c r="AD1054" s="18">
        <f t="shared" si="272"/>
        <v>43.023067433253416</v>
      </c>
      <c r="AE1054" s="18" t="s">
        <v>2418</v>
      </c>
      <c r="AF1054" s="2462"/>
      <c r="AG1054" s="2462"/>
      <c r="AH1054" s="1905">
        <v>1</v>
      </c>
      <c r="AI1054" s="1905" t="s">
        <v>65</v>
      </c>
      <c r="AJ1054" s="1905">
        <v>10</v>
      </c>
      <c r="AK1054" s="1905" t="s">
        <v>66</v>
      </c>
      <c r="AL1054" s="1905">
        <v>19</v>
      </c>
      <c r="AM1054" s="1905">
        <v>21</v>
      </c>
      <c r="AN1054" s="384" t="s">
        <v>691</v>
      </c>
      <c r="AO1054" s="384" t="s">
        <v>692</v>
      </c>
      <c r="AP1054" s="597">
        <f>8*5</f>
        <v>40</v>
      </c>
      <c r="AQ1054" s="386">
        <v>53458</v>
      </c>
      <c r="AR1054" s="385">
        <v>7</v>
      </c>
      <c r="AS1054" s="386">
        <v>57389</v>
      </c>
      <c r="AT1054" s="385">
        <v>5</v>
      </c>
      <c r="AU1054" s="386">
        <v>72969</v>
      </c>
      <c r="AV1054" s="385">
        <v>0</v>
      </c>
      <c r="AW1054" s="387">
        <v>49700</v>
      </c>
      <c r="AX1054" s="385"/>
      <c r="AY1054" s="385"/>
      <c r="AZ1054" s="385"/>
      <c r="BA1054" s="385"/>
      <c r="BB1054" s="385"/>
      <c r="BC1054" s="385"/>
      <c r="BD1054" s="385">
        <f>AV1054+AX1054+AZ1054+BB1054</f>
        <v>0</v>
      </c>
      <c r="BE1054" s="387">
        <f>SUM(Z960:Z960)</f>
        <v>0</v>
      </c>
      <c r="BF1054" s="385">
        <f>AR1054+BD1054</f>
        <v>7</v>
      </c>
      <c r="BG1054" s="386">
        <v>0</v>
      </c>
      <c r="BH1054" s="389">
        <f>(BF1054/AP1054)*100</f>
        <v>17.5</v>
      </c>
      <c r="BI1054" s="389">
        <f>(BG1054/AQ1054)*100</f>
        <v>0</v>
      </c>
      <c r="BJ1054" s="385" t="s">
        <v>612</v>
      </c>
    </row>
    <row r="1055" spans="1:62" s="75" customFormat="1" ht="38.25">
      <c r="A1055" s="1692"/>
      <c r="B1055" s="1696"/>
      <c r="C1055" s="1692"/>
      <c r="D1055" s="1692"/>
      <c r="E1055" s="1692"/>
      <c r="F1055" s="1692"/>
      <c r="G1055" s="1692"/>
      <c r="H1055" s="1692"/>
      <c r="I1055" s="1414" t="s">
        <v>150</v>
      </c>
      <c r="J1055" s="1697" t="s">
        <v>2428</v>
      </c>
      <c r="K1055" s="729">
        <v>600</v>
      </c>
      <c r="L1055" s="1689">
        <v>189374496</v>
      </c>
      <c r="M1055" s="1691">
        <f>'[2]Desember 2017'!$J$31+[3]Sheet1!$E$15</f>
        <v>199.91677932714737</v>
      </c>
      <c r="N1055" s="1690">
        <f>'[2]Desember 2017'!$I$31+[3]Sheet1!$D$15</f>
        <v>65841000</v>
      </c>
      <c r="O1055" s="64">
        <v>100</v>
      </c>
      <c r="P1055" s="1690">
        <f>'[1]April 2018'!$E$32</f>
        <v>30877724</v>
      </c>
      <c r="Q1055" s="1691">
        <f>'[1]April 2018'!$I$31</f>
        <v>28.386483407909207</v>
      </c>
      <c r="R1055" s="1690">
        <f>'[1]April 2018'!$H$31</f>
        <v>8765100</v>
      </c>
      <c r="S1055" s="1692"/>
      <c r="T1055" s="1692"/>
      <c r="U1055" s="1692"/>
      <c r="V1055" s="1692"/>
      <c r="W1055" s="1692"/>
      <c r="X1055" s="1692"/>
      <c r="Y1055" s="1691">
        <f>'[1]April 2018'!$I$31</f>
        <v>28.386483407909207</v>
      </c>
      <c r="Z1055" s="1690">
        <f>'[1]April 2018'!$H$31</f>
        <v>8765100</v>
      </c>
      <c r="AA1055" s="1691">
        <f t="shared" si="270"/>
        <v>228.30326273505656</v>
      </c>
      <c r="AB1055" s="1690">
        <f t="shared" si="271"/>
        <v>74606100</v>
      </c>
      <c r="AC1055" s="1663">
        <f t="shared" si="272"/>
        <v>38.050543789176096</v>
      </c>
      <c r="AD1055" s="18">
        <f t="shared" si="272"/>
        <v>39.396065244181564</v>
      </c>
      <c r="AE1055" s="18" t="s">
        <v>2418</v>
      </c>
      <c r="AF1055" s="94"/>
      <c r="AG1055" s="94"/>
      <c r="AH1055" s="95"/>
      <c r="AI1055" s="95"/>
      <c r="AJ1055" s="95"/>
      <c r="AK1055" s="95"/>
      <c r="AL1055" s="95"/>
      <c r="AM1055" s="80"/>
      <c r="AN1055" s="96"/>
      <c r="AO1055" s="97"/>
      <c r="AP1055" s="98"/>
      <c r="AQ1055" s="99"/>
      <c r="AR1055" s="100"/>
      <c r="AS1055" s="94"/>
      <c r="AT1055" s="94"/>
      <c r="AU1055" s="94"/>
      <c r="AV1055" s="101"/>
      <c r="AW1055" s="102"/>
      <c r="AX1055" s="94"/>
      <c r="AY1055" s="102"/>
      <c r="AZ1055" s="103"/>
      <c r="BA1055" s="94"/>
      <c r="BB1055" s="94"/>
      <c r="BC1055" s="94"/>
      <c r="BD1055" s="568"/>
      <c r="BE1055" s="104"/>
      <c r="BF1055" s="105"/>
      <c r="BG1055" s="106"/>
      <c r="BH1055" s="107"/>
      <c r="BI1055" s="108"/>
      <c r="BJ1055" s="94"/>
    </row>
    <row r="1056" spans="1:62" s="69" customFormat="1" ht="24" customHeight="1">
      <c r="A1056" s="1692"/>
      <c r="B1056" s="1696"/>
      <c r="C1056" s="1692"/>
      <c r="D1056" s="1692"/>
      <c r="E1056" s="1692"/>
      <c r="F1056" s="1692"/>
      <c r="G1056" s="1692"/>
      <c r="H1056" s="1692"/>
      <c r="I1056" s="1414" t="s">
        <v>151</v>
      </c>
      <c r="J1056" s="1697" t="s">
        <v>2429</v>
      </c>
      <c r="K1056" s="729">
        <v>600</v>
      </c>
      <c r="L1056" s="1689">
        <v>175469200</v>
      </c>
      <c r="M1056" s="1691">
        <f>'[2]Desember 2017'!$J$34+[3]Sheet1!$E$16</f>
        <v>199.95428571428573</v>
      </c>
      <c r="N1056" s="1690">
        <f>'[2]Desember 2017'!$I$34+[3]Sheet1!$D$16</f>
        <v>69983800</v>
      </c>
      <c r="O1056" s="64">
        <v>100</v>
      </c>
      <c r="P1056" s="1690">
        <f>'[1]April 2018'!$E$35</f>
        <v>26367300</v>
      </c>
      <c r="Q1056" s="1691">
        <f>'[1]April 2018'!$I$34</f>
        <v>25.038589464981246</v>
      </c>
      <c r="R1056" s="1690">
        <f>'[1]April 2018'!$H$34</f>
        <v>6602000</v>
      </c>
      <c r="S1056" s="1692"/>
      <c r="T1056" s="1692"/>
      <c r="U1056" s="1692"/>
      <c r="V1056" s="1692"/>
      <c r="W1056" s="1692"/>
      <c r="X1056" s="1692"/>
      <c r="Y1056" s="1691">
        <f>'[1]April 2018'!$I$34</f>
        <v>25.038589464981246</v>
      </c>
      <c r="Z1056" s="1690">
        <f>'[1]April 2018'!$H$34</f>
        <v>6602000</v>
      </c>
      <c r="AA1056" s="1691">
        <f t="shared" si="270"/>
        <v>224.99287517926697</v>
      </c>
      <c r="AB1056" s="1690">
        <f t="shared" si="271"/>
        <v>76585800</v>
      </c>
      <c r="AC1056" s="1663">
        <f t="shared" si="272"/>
        <v>37.498812529877831</v>
      </c>
      <c r="AD1056" s="18">
        <f t="shared" si="272"/>
        <v>43.646292340764077</v>
      </c>
      <c r="AE1056" s="18" t="s">
        <v>2418</v>
      </c>
      <c r="AF1056" s="109">
        <v>21</v>
      </c>
      <c r="AG1056" s="109"/>
      <c r="AH1056" s="109"/>
      <c r="AI1056" s="109"/>
      <c r="AJ1056" s="109"/>
      <c r="AK1056" s="109"/>
      <c r="AL1056" s="109"/>
      <c r="AM1056" s="109"/>
      <c r="AN1056" s="110" t="s">
        <v>171</v>
      </c>
      <c r="AO1056" s="109"/>
      <c r="AP1056" s="109"/>
      <c r="AQ1056" s="109"/>
      <c r="AR1056" s="109"/>
      <c r="AS1056" s="109"/>
      <c r="AT1056" s="109"/>
      <c r="AU1056" s="109"/>
      <c r="AV1056" s="109"/>
      <c r="AW1056" s="109"/>
      <c r="AX1056" s="109"/>
      <c r="AY1056" s="109"/>
      <c r="AZ1056" s="109"/>
      <c r="BA1056" s="109"/>
      <c r="BB1056" s="109"/>
      <c r="BC1056" s="109"/>
      <c r="BD1056" s="567"/>
      <c r="BE1056" s="109"/>
      <c r="BF1056" s="109"/>
      <c r="BG1056" s="109"/>
      <c r="BH1056" s="109"/>
      <c r="BI1056" s="109"/>
      <c r="BJ1056" s="109"/>
    </row>
    <row r="1057" spans="1:62" s="75" customFormat="1" ht="51">
      <c r="A1057" s="1692"/>
      <c r="B1057" s="1696"/>
      <c r="C1057" s="1692"/>
      <c r="D1057" s="1692"/>
      <c r="E1057" s="1692"/>
      <c r="F1057" s="1692"/>
      <c r="G1057" s="1692"/>
      <c r="H1057" s="1692"/>
      <c r="I1057" s="1414" t="s">
        <v>152</v>
      </c>
      <c r="J1057" s="1697" t="s">
        <v>2430</v>
      </c>
      <c r="K1057" s="729">
        <v>600</v>
      </c>
      <c r="L1057" s="1689">
        <v>60452620</v>
      </c>
      <c r="M1057" s="1691">
        <f>'[2]Desember 2017'!$J$44+[3]Sheet1!$E$17</f>
        <v>199.23581982964387</v>
      </c>
      <c r="N1057" s="1690">
        <f>'[2]Desember 2017'!$I$45+[3]Sheet1!$D$17</f>
        <v>17174000</v>
      </c>
      <c r="O1057" s="64">
        <v>100</v>
      </c>
      <c r="P1057" s="1690">
        <f>'[1]April 2018'!$E$38</f>
        <v>10799024</v>
      </c>
      <c r="Q1057" s="1691">
        <f>'[1]April 2018'!$I$37</f>
        <v>22.798356592225371</v>
      </c>
      <c r="R1057" s="1690">
        <f>'[1]April 2018'!$H$37</f>
        <v>2462000</v>
      </c>
      <c r="S1057" s="1692"/>
      <c r="T1057" s="1692"/>
      <c r="U1057" s="1692"/>
      <c r="V1057" s="1692"/>
      <c r="W1057" s="1692"/>
      <c r="X1057" s="1692"/>
      <c r="Y1057" s="1691">
        <f>'[1]April 2018'!$I$37</f>
        <v>22.798356592225371</v>
      </c>
      <c r="Z1057" s="1690">
        <f>'[1]April 2018'!$H$37</f>
        <v>2462000</v>
      </c>
      <c r="AA1057" s="1691">
        <f t="shared" si="270"/>
        <v>222.03417642186923</v>
      </c>
      <c r="AB1057" s="1690">
        <f t="shared" si="271"/>
        <v>19636000</v>
      </c>
      <c r="AC1057" s="1663">
        <f t="shared" si="272"/>
        <v>37.005696070311537</v>
      </c>
      <c r="AD1057" s="18">
        <f t="shared" si="272"/>
        <v>32.481636031655867</v>
      </c>
      <c r="AE1057" s="18" t="s">
        <v>2418</v>
      </c>
      <c r="AF1057" s="94"/>
      <c r="AG1057" s="94"/>
      <c r="AH1057" s="95"/>
      <c r="AI1057" s="95"/>
      <c r="AJ1057" s="95"/>
      <c r="AK1057" s="95"/>
      <c r="AL1057" s="95"/>
      <c r="AM1057" s="80"/>
      <c r="AN1057" s="96"/>
      <c r="AO1057" s="97"/>
      <c r="AP1057" s="98"/>
      <c r="AQ1057" s="99"/>
      <c r="AR1057" s="100"/>
      <c r="AS1057" s="94"/>
      <c r="AT1057" s="94"/>
      <c r="AU1057" s="94"/>
      <c r="AV1057" s="101"/>
      <c r="AW1057" s="102"/>
      <c r="AX1057" s="94"/>
      <c r="AY1057" s="102"/>
      <c r="AZ1057" s="103"/>
      <c r="BA1057" s="94"/>
      <c r="BB1057" s="94"/>
      <c r="BC1057" s="94"/>
      <c r="BD1057" s="568"/>
      <c r="BE1057" s="104"/>
      <c r="BF1057" s="105"/>
      <c r="BG1057" s="106"/>
      <c r="BH1057" s="107"/>
      <c r="BI1057" s="108"/>
      <c r="BJ1057" s="94"/>
    </row>
    <row r="1058" spans="1:62" s="69" customFormat="1" ht="34.5" customHeight="1">
      <c r="A1058" s="1692"/>
      <c r="B1058" s="1696"/>
      <c r="C1058" s="1692"/>
      <c r="D1058" s="1692"/>
      <c r="E1058" s="1692"/>
      <c r="F1058" s="1692"/>
      <c r="G1058" s="1692"/>
      <c r="H1058" s="1692"/>
      <c r="I1058" s="1414" t="s">
        <v>1293</v>
      </c>
      <c r="J1058" s="1697" t="s">
        <v>1294</v>
      </c>
      <c r="K1058" s="729">
        <v>600</v>
      </c>
      <c r="L1058" s="1689">
        <v>79065000</v>
      </c>
      <c r="M1058" s="1691">
        <f>'[2]Desember 2017'!$J$48+[3]Sheet1!$E$23</f>
        <v>198.89043165467626</v>
      </c>
      <c r="N1058" s="1690">
        <f>'[2]Desember 2017'!$I$48+[3]Sheet1!$D$23</f>
        <v>36990000</v>
      </c>
      <c r="O1058" s="64">
        <v>100</v>
      </c>
      <c r="P1058" s="1690">
        <f>'[1]April 2018'!$E$41</f>
        <v>10500000</v>
      </c>
      <c r="Q1058" s="1691">
        <f>'[1]April 2018'!$I$40</f>
        <v>14.857142857142858</v>
      </c>
      <c r="R1058" s="1690">
        <f>'[1]April 2018'!$H$41</f>
        <v>1560000</v>
      </c>
      <c r="S1058" s="1692"/>
      <c r="T1058" s="1692"/>
      <c r="U1058" s="1692"/>
      <c r="V1058" s="1692"/>
      <c r="W1058" s="1692"/>
      <c r="X1058" s="1692"/>
      <c r="Y1058" s="1691">
        <f>'[1]April 2018'!$I$40</f>
        <v>14.857142857142858</v>
      </c>
      <c r="Z1058" s="1690">
        <f>'[1]April 2018'!$H$41</f>
        <v>1560000</v>
      </c>
      <c r="AA1058" s="1691">
        <f t="shared" si="270"/>
        <v>213.74757451181912</v>
      </c>
      <c r="AB1058" s="1690">
        <f t="shared" si="271"/>
        <v>38550000</v>
      </c>
      <c r="AC1058" s="1663">
        <f t="shared" si="272"/>
        <v>35.624595751969856</v>
      </c>
      <c r="AD1058" s="18">
        <f t="shared" si="272"/>
        <v>48.757351546196169</v>
      </c>
      <c r="AE1058" s="18" t="s">
        <v>2418</v>
      </c>
      <c r="AF1058" s="109">
        <v>22</v>
      </c>
      <c r="AG1058" s="109"/>
      <c r="AH1058" s="109"/>
      <c r="AI1058" s="109"/>
      <c r="AJ1058" s="109"/>
      <c r="AK1058" s="109"/>
      <c r="AL1058" s="109"/>
      <c r="AM1058" s="109"/>
      <c r="AN1058" s="110" t="s">
        <v>172</v>
      </c>
      <c r="AO1058" s="109"/>
      <c r="AP1058" s="109"/>
      <c r="AQ1058" s="109"/>
      <c r="AR1058" s="109"/>
      <c r="AS1058" s="109"/>
      <c r="AT1058" s="109"/>
      <c r="AU1058" s="109"/>
      <c r="AV1058" s="109"/>
      <c r="AW1058" s="109"/>
      <c r="AX1058" s="109"/>
      <c r="AY1058" s="109"/>
      <c r="AZ1058" s="109"/>
      <c r="BA1058" s="109"/>
      <c r="BB1058" s="109"/>
      <c r="BC1058" s="109"/>
      <c r="BD1058" s="567"/>
      <c r="BE1058" s="109"/>
      <c r="BF1058" s="109"/>
      <c r="BG1058" s="109"/>
      <c r="BH1058" s="109"/>
      <c r="BI1058" s="109"/>
      <c r="BJ1058" s="109"/>
    </row>
    <row r="1059" spans="1:62" s="335" customFormat="1" ht="45.75" customHeight="1">
      <c r="A1059" s="1692"/>
      <c r="B1059" s="1696"/>
      <c r="C1059" s="1692"/>
      <c r="D1059" s="1692"/>
      <c r="E1059" s="1692"/>
      <c r="F1059" s="1692"/>
      <c r="G1059" s="1692"/>
      <c r="H1059" s="1692"/>
      <c r="I1059" s="1414" t="s">
        <v>157</v>
      </c>
      <c r="J1059" s="1697" t="s">
        <v>2431</v>
      </c>
      <c r="K1059" s="729">
        <v>600</v>
      </c>
      <c r="L1059" s="1689">
        <v>316641000</v>
      </c>
      <c r="M1059" s="1691">
        <f>'[2]Desember 2017'!$J$51+[3]Sheet1!$E$24</f>
        <v>199.87139999999999</v>
      </c>
      <c r="N1059" s="1690">
        <f>'[2]Desember 2017'!$I$51+[3]Sheet1!$D$24</f>
        <v>187096400</v>
      </c>
      <c r="O1059" s="64">
        <v>100</v>
      </c>
      <c r="P1059" s="1690">
        <f>'[1]April 2018'!$E$46</f>
        <v>32384000</v>
      </c>
      <c r="Q1059" s="1691">
        <f>'[1]April 2018'!$I$43</f>
        <v>33.867033102766797</v>
      </c>
      <c r="R1059" s="1690">
        <f>'[1]April 2018'!$H$43</f>
        <v>10967500</v>
      </c>
      <c r="S1059" s="1692"/>
      <c r="T1059" s="1692"/>
      <c r="U1059" s="1692"/>
      <c r="V1059" s="1692"/>
      <c r="W1059" s="1692"/>
      <c r="X1059" s="1692"/>
      <c r="Y1059" s="1691">
        <f>'[1]April 2018'!$I$43</f>
        <v>33.867033102766797</v>
      </c>
      <c r="Z1059" s="1690">
        <f>'[1]April 2018'!$H$43</f>
        <v>10967500</v>
      </c>
      <c r="AA1059" s="1691">
        <f t="shared" si="270"/>
        <v>233.73843310276681</v>
      </c>
      <c r="AB1059" s="1690">
        <f t="shared" si="271"/>
        <v>198063900</v>
      </c>
      <c r="AC1059" s="1663">
        <f t="shared" si="272"/>
        <v>38.956405517127799</v>
      </c>
      <c r="AD1059" s="18">
        <f t="shared" si="272"/>
        <v>62.551564705770893</v>
      </c>
      <c r="AE1059" s="18" t="s">
        <v>2418</v>
      </c>
      <c r="AF1059" s="329" t="s">
        <v>428</v>
      </c>
      <c r="AG1059" s="330"/>
      <c r="AH1059" s="330"/>
      <c r="AI1059" s="208"/>
      <c r="AJ1059" s="330"/>
      <c r="AK1059" s="330"/>
      <c r="AL1059" s="330"/>
      <c r="AM1059" s="330"/>
      <c r="AN1059" s="330" t="s">
        <v>429</v>
      </c>
      <c r="AO1059" s="331"/>
      <c r="AP1059" s="331"/>
      <c r="AQ1059" s="331"/>
      <c r="AR1059" s="331"/>
      <c r="AS1059" s="331"/>
      <c r="AT1059" s="331"/>
      <c r="AU1059" s="332"/>
      <c r="AV1059" s="331"/>
      <c r="AW1059" s="331"/>
      <c r="AX1059" s="331"/>
      <c r="AY1059" s="331"/>
      <c r="AZ1059" s="331"/>
      <c r="BA1059" s="331"/>
      <c r="BB1059" s="331"/>
      <c r="BC1059" s="331"/>
      <c r="BD1059" s="333"/>
      <c r="BE1059" s="331"/>
      <c r="BF1059" s="331"/>
      <c r="BG1059" s="331"/>
      <c r="BH1059" s="332"/>
      <c r="BI1059" s="332"/>
      <c r="BJ1059" s="334"/>
    </row>
    <row r="1060" spans="1:62" s="244" customFormat="1" ht="76.5">
      <c r="A1060" s="1692"/>
      <c r="B1060" s="1696"/>
      <c r="C1060" s="1692"/>
      <c r="D1060" s="1692"/>
      <c r="E1060" s="1692"/>
      <c r="F1060" s="1692"/>
      <c r="G1060" s="1692"/>
      <c r="H1060" s="1692"/>
      <c r="I1060" s="1414" t="s">
        <v>244</v>
      </c>
      <c r="J1060" s="1697" t="s">
        <v>1296</v>
      </c>
      <c r="K1060" s="729">
        <v>600</v>
      </c>
      <c r="L1060" s="1689">
        <v>798022000</v>
      </c>
      <c r="M1060" s="1691">
        <f>'[2]Desember 2017'!$J$54+[3]Sheet1!$E$25</f>
        <v>172.14490125673251</v>
      </c>
      <c r="N1060" s="1698">
        <f>'[2]Desember 2017'!$I$54+[3]Sheet1!$D$25</f>
        <v>317970738</v>
      </c>
      <c r="O1060" s="64">
        <v>100</v>
      </c>
      <c r="P1060" s="1690">
        <f>'[1]April 2018'!$E$49</f>
        <v>102850000</v>
      </c>
      <c r="Q1060" s="1691">
        <f>'[1]April 2018'!$I$48</f>
        <v>36.106757413709282</v>
      </c>
      <c r="R1060" s="1690">
        <f>'[1]April 2018'!$H$48</f>
        <v>37135800</v>
      </c>
      <c r="S1060" s="1692"/>
      <c r="T1060" s="1692"/>
      <c r="U1060" s="1692"/>
      <c r="V1060" s="1692"/>
      <c r="W1060" s="1692"/>
      <c r="X1060" s="1692"/>
      <c r="Y1060" s="1691">
        <f>'[1]April 2018'!$I$48</f>
        <v>36.106757413709282</v>
      </c>
      <c r="Z1060" s="1690">
        <f>'[1]April 2018'!$H$48</f>
        <v>37135800</v>
      </c>
      <c r="AA1060" s="1691">
        <f t="shared" si="270"/>
        <v>208.2516586704418</v>
      </c>
      <c r="AB1060" s="1690">
        <f t="shared" si="271"/>
        <v>355106538</v>
      </c>
      <c r="AC1060" s="1663">
        <f t="shared" si="272"/>
        <v>34.708609778406966</v>
      </c>
      <c r="AD1060" s="18">
        <f t="shared" si="272"/>
        <v>44.49833939415204</v>
      </c>
      <c r="AE1060" s="18" t="s">
        <v>2418</v>
      </c>
      <c r="AF1060" s="220"/>
      <c r="AG1060" s="233"/>
      <c r="AH1060" s="288" t="s">
        <v>66</v>
      </c>
      <c r="AI1060" s="288" t="s">
        <v>66</v>
      </c>
      <c r="AJ1060" s="289" t="s">
        <v>66</v>
      </c>
      <c r="AK1060" s="288" t="s">
        <v>66</v>
      </c>
      <c r="AL1060" s="288" t="s">
        <v>155</v>
      </c>
      <c r="AM1060" s="247"/>
      <c r="AN1060" s="320" t="s">
        <v>173</v>
      </c>
      <c r="AO1060" s="286" t="s">
        <v>174</v>
      </c>
      <c r="AP1060" s="291">
        <v>100</v>
      </c>
      <c r="AQ1060" s="291">
        <f>SUM(AQ1061:AQ1065)</f>
        <v>7560866</v>
      </c>
      <c r="AR1060" s="291">
        <f>AR1067</f>
        <v>33.333333333333336</v>
      </c>
      <c r="AS1060" s="291">
        <f t="shared" ref="AS1060:AU1060" si="273">SUM(AS1061:AS1065)</f>
        <v>4227558</v>
      </c>
      <c r="AT1060" s="290">
        <f>AT1067</f>
        <v>16.666666666666668</v>
      </c>
      <c r="AU1060" s="291">
        <f t="shared" si="273"/>
        <v>1457027</v>
      </c>
      <c r="AV1060" s="291">
        <f>SUM(AV1061:AV1065)</f>
        <v>0.32962364304933611</v>
      </c>
      <c r="AW1060" s="291">
        <f t="shared" ref="AW1060" si="274">SUM(AW1061:AW1065)</f>
        <v>135000</v>
      </c>
      <c r="AX1060" s="245"/>
      <c r="AY1060" s="252"/>
      <c r="AZ1060" s="245"/>
      <c r="BA1060" s="252"/>
      <c r="BB1060" s="245"/>
      <c r="BC1060" s="252"/>
      <c r="BD1060" s="218">
        <f>AV1060+AX1060+AZ1060+BB1060</f>
        <v>0.32962364304933611</v>
      </c>
      <c r="BE1060" s="219">
        <f>SUM(BE1061:BE1064)</f>
        <v>135000</v>
      </c>
      <c r="BF1060" s="220">
        <f>AR1060+BD1060</f>
        <v>33.662956976382674</v>
      </c>
      <c r="BG1060" s="221">
        <f>SUM(BG1061:BG1064)</f>
        <v>1674558</v>
      </c>
      <c r="BH1060" s="222">
        <f>(BF1060/AP1060)*100</f>
        <v>33.662956976382674</v>
      </c>
      <c r="BI1060" s="222">
        <f t="shared" ref="BI1060:BI1065" si="275">(BG1060/AQ1060)*100</f>
        <v>22.14770107022132</v>
      </c>
      <c r="BJ1060" s="161" t="s">
        <v>175</v>
      </c>
    </row>
    <row r="1061" spans="1:62" s="244" customFormat="1" ht="51" customHeight="1">
      <c r="A1061" s="1692"/>
      <c r="B1061" s="1699"/>
      <c r="C1061" s="1692"/>
      <c r="D1061" s="1692"/>
      <c r="E1061" s="1692"/>
      <c r="F1061" s="1692"/>
      <c r="G1061" s="1692"/>
      <c r="H1061" s="1692"/>
      <c r="I1061" s="1414" t="s">
        <v>246</v>
      </c>
      <c r="J1061" s="1697" t="s">
        <v>1297</v>
      </c>
      <c r="K1061" s="729">
        <v>600</v>
      </c>
      <c r="L1061" s="1689">
        <v>429300000</v>
      </c>
      <c r="M1061" s="1691">
        <f>'[2]Desember 2017'!$J$56+[3]Sheet1!$E$26</f>
        <v>199.67836257309941</v>
      </c>
      <c r="N1061" s="1690">
        <f>'[2]Desember 2017'!$I$56+[3]Sheet1!$D$26</f>
        <v>196225000</v>
      </c>
      <c r="O1061" s="64">
        <v>100</v>
      </c>
      <c r="P1061" s="1690">
        <f>'[1]April 2018'!$E$52</f>
        <v>58200000</v>
      </c>
      <c r="Q1061" s="1691">
        <f>'[1]April 2018'!$I$51</f>
        <v>65.042955326460486</v>
      </c>
      <c r="R1061" s="1690">
        <f>'[1]April 2018'!$H$51</f>
        <v>37855000</v>
      </c>
      <c r="S1061" s="1692"/>
      <c r="T1061" s="1692"/>
      <c r="U1061" s="1692"/>
      <c r="V1061" s="1692"/>
      <c r="W1061" s="1692"/>
      <c r="X1061" s="1692"/>
      <c r="Y1061" s="1691">
        <f>'[1]April 2018'!$I$51</f>
        <v>65.042955326460486</v>
      </c>
      <c r="Z1061" s="1690">
        <f>'[1]April 2018'!$H$51</f>
        <v>37855000</v>
      </c>
      <c r="AA1061" s="1691">
        <f t="shared" si="270"/>
        <v>264.72131789955989</v>
      </c>
      <c r="AB1061" s="1690">
        <f t="shared" si="271"/>
        <v>234080000</v>
      </c>
      <c r="AC1061" s="1663">
        <f t="shared" si="272"/>
        <v>44.120219649926653</v>
      </c>
      <c r="AD1061" s="18">
        <f t="shared" si="272"/>
        <v>54.525972513393896</v>
      </c>
      <c r="AE1061" s="18" t="s">
        <v>2418</v>
      </c>
      <c r="AF1061" s="220">
        <v>9</v>
      </c>
      <c r="AG1061" s="233"/>
      <c r="AH1061" s="247" t="s">
        <v>66</v>
      </c>
      <c r="AI1061" s="247" t="s">
        <v>66</v>
      </c>
      <c r="AJ1061" s="238" t="s">
        <v>66</v>
      </c>
      <c r="AK1061" s="247" t="s">
        <v>66</v>
      </c>
      <c r="AL1061" s="247" t="s">
        <v>155</v>
      </c>
      <c r="AM1061" s="247" t="s">
        <v>165</v>
      </c>
      <c r="AN1061" s="246" t="s">
        <v>176</v>
      </c>
      <c r="AO1061" s="246" t="s">
        <v>177</v>
      </c>
      <c r="AP1061" s="248">
        <v>4</v>
      </c>
      <c r="AQ1061" s="224">
        <f>4*313536</f>
        <v>1254144</v>
      </c>
      <c r="AR1061" s="247">
        <v>0</v>
      </c>
      <c r="AS1061" s="336">
        <v>0</v>
      </c>
      <c r="AT1061" s="248">
        <v>1</v>
      </c>
      <c r="AU1061" s="224">
        <f>1*313536</f>
        <v>313536</v>
      </c>
      <c r="AV1061" s="247">
        <v>0</v>
      </c>
      <c r="AW1061" s="336">
        <v>0</v>
      </c>
      <c r="AX1061" s="245"/>
      <c r="AY1061" s="252"/>
      <c r="AZ1061" s="245"/>
      <c r="BA1061" s="252"/>
      <c r="BB1061" s="245"/>
      <c r="BC1061" s="252"/>
      <c r="BD1061" s="223">
        <f t="shared" ref="BD1061:BE1065" si="276">AV1061+AX1061+AZ1061+BB1061</f>
        <v>0</v>
      </c>
      <c r="BE1061" s="224">
        <f t="shared" si="276"/>
        <v>0</v>
      </c>
      <c r="BF1061" s="225">
        <f>AR1061+BD1061</f>
        <v>0</v>
      </c>
      <c r="BG1061" s="226">
        <f>AS1061+BE1061</f>
        <v>0</v>
      </c>
      <c r="BH1061" s="227">
        <f>(BF1061/AP1061)*100</f>
        <v>0</v>
      </c>
      <c r="BI1061" s="227">
        <f t="shared" si="275"/>
        <v>0</v>
      </c>
      <c r="BJ1061" s="161" t="s">
        <v>175</v>
      </c>
    </row>
    <row r="1062" spans="1:62" s="244" customFormat="1" ht="27" customHeight="1">
      <c r="A1062" s="1700"/>
      <c r="B1062" s="1700"/>
      <c r="C1062" s="1680">
        <v>3</v>
      </c>
      <c r="D1062" s="1681" t="s">
        <v>107</v>
      </c>
      <c r="E1062" s="1682" t="s">
        <v>95</v>
      </c>
      <c r="F1062" s="1681" t="s">
        <v>66</v>
      </c>
      <c r="G1062" s="1681" t="s">
        <v>65</v>
      </c>
      <c r="H1062" s="1683"/>
      <c r="I1062" s="2521" t="s">
        <v>257</v>
      </c>
      <c r="J1062" s="2522"/>
      <c r="K1062" s="1700">
        <f t="shared" ref="K1062:R1062" si="277">SUM(K1063:K1065)</f>
        <v>1400</v>
      </c>
      <c r="L1062" s="1701">
        <f t="shared" si="277"/>
        <v>1919225150</v>
      </c>
      <c r="M1062" s="1702">
        <f t="shared" si="277"/>
        <v>399.82036531611391</v>
      </c>
      <c r="N1062" s="1701">
        <f t="shared" si="277"/>
        <v>524624622</v>
      </c>
      <c r="O1062" s="1700">
        <f t="shared" si="277"/>
        <v>300</v>
      </c>
      <c r="P1062" s="1701">
        <f t="shared" si="277"/>
        <v>360285500</v>
      </c>
      <c r="Q1062" s="1702">
        <f t="shared" si="277"/>
        <v>54.9392443567681</v>
      </c>
      <c r="R1062" s="1701">
        <f t="shared" si="277"/>
        <v>78062886</v>
      </c>
      <c r="S1062" s="1700"/>
      <c r="T1062" s="1700"/>
      <c r="U1062" s="1700"/>
      <c r="V1062" s="1700"/>
      <c r="W1062" s="1700"/>
      <c r="X1062" s="1700"/>
      <c r="Y1062" s="1702">
        <f>SUM(Y1063:Y1065)</f>
        <v>54.9392443567681</v>
      </c>
      <c r="Z1062" s="1701">
        <f>SUM(Z1063:Z1065)</f>
        <v>78062886</v>
      </c>
      <c r="AA1062" s="1702">
        <f>Y1062+M1062</f>
        <v>454.75960967288199</v>
      </c>
      <c r="AB1062" s="1701">
        <f>Z1062+N1062</f>
        <v>602687508</v>
      </c>
      <c r="AC1062" s="1665">
        <f t="shared" si="272"/>
        <v>32.482829262348709</v>
      </c>
      <c r="AD1062" s="1664">
        <f t="shared" si="272"/>
        <v>31.402647469474854</v>
      </c>
      <c r="AE1062" s="1664"/>
      <c r="AF1062" s="236">
        <v>1</v>
      </c>
      <c r="AG1062" s="233"/>
      <c r="AH1062" s="247" t="s">
        <v>66</v>
      </c>
      <c r="AI1062" s="247" t="s">
        <v>66</v>
      </c>
      <c r="AJ1062" s="238" t="s">
        <v>66</v>
      </c>
      <c r="AK1062" s="247" t="s">
        <v>66</v>
      </c>
      <c r="AL1062" s="247" t="s">
        <v>155</v>
      </c>
      <c r="AM1062" s="247" t="s">
        <v>178</v>
      </c>
      <c r="AN1062" s="246" t="s">
        <v>179</v>
      </c>
      <c r="AO1062" s="246" t="s">
        <v>180</v>
      </c>
      <c r="AP1062" s="248">
        <v>4</v>
      </c>
      <c r="AQ1062" s="224">
        <f>306512*4</f>
        <v>1226048</v>
      </c>
      <c r="AR1062" s="247">
        <v>0</v>
      </c>
      <c r="AS1062" s="336">
        <v>0</v>
      </c>
      <c r="AT1062" s="248">
        <v>1</v>
      </c>
      <c r="AU1062" s="224">
        <f>306512*1</f>
        <v>306512</v>
      </c>
      <c r="AV1062" s="247">
        <v>0</v>
      </c>
      <c r="AW1062" s="336">
        <v>0</v>
      </c>
      <c r="AX1062" s="245"/>
      <c r="AY1062" s="252"/>
      <c r="AZ1062" s="245"/>
      <c r="BA1062" s="252"/>
      <c r="BB1062" s="245"/>
      <c r="BC1062" s="252"/>
      <c r="BD1062" s="223">
        <f t="shared" si="276"/>
        <v>0</v>
      </c>
      <c r="BE1062" s="224">
        <f t="shared" si="276"/>
        <v>0</v>
      </c>
      <c r="BF1062" s="225">
        <f t="shared" ref="BF1062:BG1065" si="278">AR1062+BD1062</f>
        <v>0</v>
      </c>
      <c r="BG1062" s="226">
        <f t="shared" si="278"/>
        <v>0</v>
      </c>
      <c r="BH1062" s="227">
        <f t="shared" ref="BH1062:BH1065" si="279">(BF1062/AP1062)*100</f>
        <v>0</v>
      </c>
      <c r="BI1062" s="227">
        <f t="shared" si="275"/>
        <v>0</v>
      </c>
      <c r="BJ1062" s="161" t="s">
        <v>175</v>
      </c>
    </row>
    <row r="1063" spans="1:62" s="244" customFormat="1" ht="54">
      <c r="A1063" s="1692"/>
      <c r="B1063" s="2506" t="s">
        <v>2419</v>
      </c>
      <c r="C1063" s="1692"/>
      <c r="D1063" s="1692"/>
      <c r="E1063" s="1692"/>
      <c r="F1063" s="1692"/>
      <c r="G1063" s="1692"/>
      <c r="H1063" s="1692"/>
      <c r="I1063" s="1414" t="s">
        <v>1301</v>
      </c>
      <c r="J1063" s="1703" t="s">
        <v>2432</v>
      </c>
      <c r="K1063" s="64">
        <v>600</v>
      </c>
      <c r="L1063" s="1689">
        <v>404720000</v>
      </c>
      <c r="M1063" s="1691">
        <f>'[2]Desember 2017'!$J$61+[3]Sheet1!$E$29</f>
        <v>199.87571428571431</v>
      </c>
      <c r="N1063" s="1690">
        <f>'[2]Desember 2017'!$I$61+[3]Sheet1!$D$29</f>
        <v>168686000</v>
      </c>
      <c r="O1063" s="64">
        <v>100</v>
      </c>
      <c r="P1063" s="1690">
        <f>'[1]Maret 2018'!$E$56</f>
        <v>59000000</v>
      </c>
      <c r="Q1063" s="1691">
        <f>'[1]Maret 2018'!$I$56</f>
        <v>29.111864406779659</v>
      </c>
      <c r="R1063" s="1690">
        <f>'[1]Maret 2018'!$H$56</f>
        <v>17176000</v>
      </c>
      <c r="S1063" s="1692"/>
      <c r="T1063" s="1692"/>
      <c r="U1063" s="1692"/>
      <c r="V1063" s="1692"/>
      <c r="W1063" s="1692"/>
      <c r="X1063" s="1692"/>
      <c r="Y1063" s="1691">
        <f>'[1]Maret 2018'!$I$56</f>
        <v>29.111864406779659</v>
      </c>
      <c r="Z1063" s="1690">
        <f>'[1]Maret 2018'!$H$56</f>
        <v>17176000</v>
      </c>
      <c r="AA1063" s="1691">
        <f>M1063+Y1063</f>
        <v>228.98757869249397</v>
      </c>
      <c r="AB1063" s="1690">
        <f>N1063+Z1063</f>
        <v>185862000</v>
      </c>
      <c r="AC1063" s="1663">
        <f t="shared" si="272"/>
        <v>38.164596448748995</v>
      </c>
      <c r="AD1063" s="18">
        <f t="shared" si="272"/>
        <v>45.923601502273179</v>
      </c>
      <c r="AE1063" s="18" t="s">
        <v>2418</v>
      </c>
      <c r="AF1063" s="236">
        <v>2</v>
      </c>
      <c r="AG1063" s="233"/>
      <c r="AH1063" s="247" t="s">
        <v>66</v>
      </c>
      <c r="AI1063" s="247" t="s">
        <v>66</v>
      </c>
      <c r="AJ1063" s="238" t="s">
        <v>66</v>
      </c>
      <c r="AK1063" s="247" t="s">
        <v>66</v>
      </c>
      <c r="AL1063" s="247" t="s">
        <v>155</v>
      </c>
      <c r="AM1063" s="247" t="s">
        <v>181</v>
      </c>
      <c r="AN1063" s="246" t="s">
        <v>182</v>
      </c>
      <c r="AO1063" s="246" t="s">
        <v>435</v>
      </c>
      <c r="AP1063" s="248">
        <v>6</v>
      </c>
      <c r="AQ1063" s="224">
        <f>6*409558</f>
        <v>2457348</v>
      </c>
      <c r="AR1063" s="247">
        <v>2</v>
      </c>
      <c r="AS1063" s="224">
        <f>2*409558</f>
        <v>819116</v>
      </c>
      <c r="AT1063" s="248">
        <v>1</v>
      </c>
      <c r="AU1063" s="224">
        <f>1*409558</f>
        <v>409558</v>
      </c>
      <c r="AV1063" s="337">
        <f>AW1063/AU1063</f>
        <v>0.32962364304933611</v>
      </c>
      <c r="AW1063" s="224">
        <v>135000</v>
      </c>
      <c r="AX1063" s="248"/>
      <c r="AY1063" s="240"/>
      <c r="AZ1063" s="248"/>
      <c r="BA1063" s="338"/>
      <c r="BB1063" s="248"/>
      <c r="BC1063" s="338"/>
      <c r="BD1063" s="223">
        <f t="shared" si="276"/>
        <v>0.32962364304933611</v>
      </c>
      <c r="BE1063" s="224">
        <f t="shared" si="276"/>
        <v>135000</v>
      </c>
      <c r="BF1063" s="225">
        <f t="shared" si="278"/>
        <v>2.3296236430493362</v>
      </c>
      <c r="BG1063" s="226">
        <f t="shared" si="278"/>
        <v>954116</v>
      </c>
      <c r="BH1063" s="227">
        <f t="shared" si="279"/>
        <v>38.827060717488934</v>
      </c>
      <c r="BI1063" s="227">
        <f t="shared" si="275"/>
        <v>38.827060717488934</v>
      </c>
      <c r="BJ1063" s="161" t="s">
        <v>175</v>
      </c>
    </row>
    <row r="1064" spans="1:62" s="244" customFormat="1" ht="63.75">
      <c r="A1064" s="1692"/>
      <c r="B1064" s="2507"/>
      <c r="C1064" s="1692"/>
      <c r="D1064" s="1692"/>
      <c r="E1064" s="1692"/>
      <c r="F1064" s="1692"/>
      <c r="G1064" s="1692"/>
      <c r="H1064" s="1692"/>
      <c r="I1064" s="1414" t="s">
        <v>1303</v>
      </c>
      <c r="J1064" s="1703" t="s">
        <v>1304</v>
      </c>
      <c r="K1064" s="64">
        <v>600</v>
      </c>
      <c r="L1064" s="1689">
        <v>1298965150</v>
      </c>
      <c r="M1064" s="1691">
        <f>'[2]Desember 2017'!$J$64+[3]Sheet1!$E$30</f>
        <v>199.94465103039963</v>
      </c>
      <c r="N1064" s="1690">
        <f>'[2]Desember 2017'!$I$64+[3]Sheet1!$D$30</f>
        <v>355938622</v>
      </c>
      <c r="O1064" s="64">
        <v>100</v>
      </c>
      <c r="P1064" s="1690">
        <f>'[1]Maret 2018'!$E$60</f>
        <v>235745500</v>
      </c>
      <c r="Q1064" s="1691">
        <f>'[1]Maret 2018'!$I$60</f>
        <v>25.827379949988437</v>
      </c>
      <c r="R1064" s="1690">
        <f>'[1]Maret 2018'!$H$60</f>
        <v>60886886</v>
      </c>
      <c r="S1064" s="1692"/>
      <c r="T1064" s="1692"/>
      <c r="U1064" s="1692"/>
      <c r="V1064" s="1692"/>
      <c r="W1064" s="1692"/>
      <c r="X1064" s="1692"/>
      <c r="Y1064" s="1691">
        <f>'[1]Maret 2018'!$I$60</f>
        <v>25.827379949988437</v>
      </c>
      <c r="Z1064" s="1690">
        <f>'[1]Maret 2018'!$H$60</f>
        <v>60886886</v>
      </c>
      <c r="AA1064" s="1691">
        <f>M1064+Y1064</f>
        <v>225.77203098038805</v>
      </c>
      <c r="AB1064" s="1690">
        <f>N1064+Z1064</f>
        <v>416825508</v>
      </c>
      <c r="AC1064" s="1663">
        <f t="shared" si="272"/>
        <v>37.628671830064675</v>
      </c>
      <c r="AD1064" s="18">
        <f t="shared" si="272"/>
        <v>32.089044729183072</v>
      </c>
      <c r="AE1064" s="18" t="s">
        <v>2418</v>
      </c>
      <c r="AF1064" s="236">
        <v>3</v>
      </c>
      <c r="AG1064" s="233"/>
      <c r="AH1064" s="247" t="s">
        <v>66</v>
      </c>
      <c r="AI1064" s="247" t="s">
        <v>66</v>
      </c>
      <c r="AJ1064" s="238" t="s">
        <v>66</v>
      </c>
      <c r="AK1064" s="247" t="s">
        <v>66</v>
      </c>
      <c r="AL1064" s="247" t="s">
        <v>155</v>
      </c>
      <c r="AM1064" s="247" t="s">
        <v>183</v>
      </c>
      <c r="AN1064" s="233" t="s">
        <v>184</v>
      </c>
      <c r="AO1064" s="246" t="s">
        <v>436</v>
      </c>
      <c r="AP1064" s="248">
        <v>6</v>
      </c>
      <c r="AQ1064" s="224">
        <f>6*360221</f>
        <v>2161326</v>
      </c>
      <c r="AR1064" s="247">
        <v>2</v>
      </c>
      <c r="AS1064" s="224">
        <f>2*360221</f>
        <v>720442</v>
      </c>
      <c r="AT1064" s="236">
        <v>1</v>
      </c>
      <c r="AU1064" s="237">
        <f>1*360221</f>
        <v>360221</v>
      </c>
      <c r="AV1064" s="238">
        <v>0</v>
      </c>
      <c r="AW1064" s="268">
        <v>0</v>
      </c>
      <c r="AX1064" s="245"/>
      <c r="AY1064" s="252"/>
      <c r="AZ1064" s="245"/>
      <c r="BA1064" s="252"/>
      <c r="BB1064" s="245"/>
      <c r="BC1064" s="252"/>
      <c r="BD1064" s="285">
        <f t="shared" si="276"/>
        <v>0</v>
      </c>
      <c r="BE1064" s="237">
        <f t="shared" si="276"/>
        <v>0</v>
      </c>
      <c r="BF1064" s="236">
        <f t="shared" si="278"/>
        <v>2</v>
      </c>
      <c r="BG1064" s="237">
        <f t="shared" si="278"/>
        <v>720442</v>
      </c>
      <c r="BH1064" s="298">
        <f t="shared" si="279"/>
        <v>33.333333333333329</v>
      </c>
      <c r="BI1064" s="298">
        <f t="shared" si="275"/>
        <v>33.333333333333329</v>
      </c>
      <c r="BJ1064" s="161" t="s">
        <v>175</v>
      </c>
    </row>
    <row r="1065" spans="1:62" s="244" customFormat="1" ht="65.25" customHeight="1">
      <c r="A1065" s="1692"/>
      <c r="B1065" s="2508"/>
      <c r="C1065" s="1692"/>
      <c r="D1065" s="1692"/>
      <c r="E1065" s="1692"/>
      <c r="F1065" s="1692"/>
      <c r="G1065" s="1692"/>
      <c r="H1065" s="1692"/>
      <c r="I1065" s="1414" t="s">
        <v>2433</v>
      </c>
      <c r="J1065" s="754" t="s">
        <v>2434</v>
      </c>
      <c r="K1065" s="64">
        <v>200</v>
      </c>
      <c r="L1065" s="1689">
        <v>215540000</v>
      </c>
      <c r="M1065" s="64">
        <v>0</v>
      </c>
      <c r="N1065" s="64">
        <v>0</v>
      </c>
      <c r="O1065" s="64">
        <v>100</v>
      </c>
      <c r="P1065" s="1690">
        <f>'[1]Maret 2018'!$E$63</f>
        <v>65540000</v>
      </c>
      <c r="Q1065" s="1692"/>
      <c r="R1065" s="1692"/>
      <c r="S1065" s="1692"/>
      <c r="T1065" s="1692"/>
      <c r="U1065" s="1692"/>
      <c r="V1065" s="1692"/>
      <c r="W1065" s="1692"/>
      <c r="X1065" s="1692"/>
      <c r="Y1065" s="1692"/>
      <c r="Z1065" s="1692"/>
      <c r="AA1065" s="1692"/>
      <c r="AB1065" s="1692"/>
      <c r="AC1065" s="1662"/>
      <c r="AD1065" s="1662"/>
      <c r="AE1065" s="18" t="s">
        <v>2418</v>
      </c>
      <c r="AF1065" s="236">
        <v>4</v>
      </c>
      <c r="AG1065" s="233"/>
      <c r="AH1065" s="247" t="s">
        <v>66</v>
      </c>
      <c r="AI1065" s="247" t="s">
        <v>66</v>
      </c>
      <c r="AJ1065" s="238" t="s">
        <v>66</v>
      </c>
      <c r="AK1065" s="247" t="s">
        <v>66</v>
      </c>
      <c r="AL1065" s="247" t="s">
        <v>155</v>
      </c>
      <c r="AM1065" s="247">
        <v>54</v>
      </c>
      <c r="AN1065" s="235" t="s">
        <v>185</v>
      </c>
      <c r="AO1065" s="233" t="s">
        <v>437</v>
      </c>
      <c r="AP1065" s="245">
        <f>20+20+18+25+25+25</f>
        <v>133</v>
      </c>
      <c r="AQ1065" s="256">
        <v>462000</v>
      </c>
      <c r="AR1065" s="245">
        <v>40</v>
      </c>
      <c r="AS1065" s="256">
        <f>AR1065*AU1065</f>
        <v>2688000</v>
      </c>
      <c r="AT1065" s="245">
        <v>18</v>
      </c>
      <c r="AU1065" s="256">
        <v>67200</v>
      </c>
      <c r="AV1065" s="247">
        <v>0</v>
      </c>
      <c r="AW1065" s="336">
        <v>0</v>
      </c>
      <c r="AX1065" s="245"/>
      <c r="AY1065" s="252"/>
      <c r="AZ1065" s="245"/>
      <c r="BA1065" s="252"/>
      <c r="BB1065" s="245"/>
      <c r="BC1065" s="252"/>
      <c r="BD1065" s="223">
        <f t="shared" si="276"/>
        <v>0</v>
      </c>
      <c r="BE1065" s="224">
        <f t="shared" si="276"/>
        <v>0</v>
      </c>
      <c r="BF1065" s="225">
        <f t="shared" si="278"/>
        <v>40</v>
      </c>
      <c r="BG1065" s="226">
        <f t="shared" si="278"/>
        <v>2688000</v>
      </c>
      <c r="BH1065" s="227">
        <f t="shared" si="279"/>
        <v>30.075187969924812</v>
      </c>
      <c r="BI1065" s="227">
        <f t="shared" si="275"/>
        <v>581.81818181818187</v>
      </c>
      <c r="BJ1065" s="161" t="s">
        <v>175</v>
      </c>
    </row>
    <row r="1066" spans="1:62" s="244" customFormat="1" ht="44.25" customHeight="1">
      <c r="A1066" s="1704">
        <v>2</v>
      </c>
      <c r="B1066" s="1705" t="s">
        <v>2435</v>
      </c>
      <c r="C1066" s="1706" t="s">
        <v>2006</v>
      </c>
      <c r="D1066" s="1706" t="s">
        <v>66</v>
      </c>
      <c r="E1066" s="1706" t="s">
        <v>65</v>
      </c>
      <c r="F1066" s="1706">
        <v>13</v>
      </c>
      <c r="G1066" s="1707">
        <v>16</v>
      </c>
      <c r="H1066" s="1708"/>
      <c r="I1066" s="1921" t="s">
        <v>2436</v>
      </c>
      <c r="J1066" s="1709" t="s">
        <v>2437</v>
      </c>
      <c r="K1066" s="1710"/>
      <c r="L1066" s="1711"/>
      <c r="M1066" s="1710"/>
      <c r="N1066" s="1711"/>
      <c r="O1066" s="1710"/>
      <c r="P1066" s="1711">
        <f>P1067+P1068+P1069+P1071+P1072+P1070</f>
        <v>2710629400</v>
      </c>
      <c r="Q1066" s="1710"/>
      <c r="R1066" s="1712"/>
      <c r="S1066" s="1710"/>
      <c r="T1066" s="1710"/>
      <c r="U1066" s="1710"/>
      <c r="V1066" s="1710"/>
      <c r="W1066" s="1710"/>
      <c r="X1066" s="1710"/>
      <c r="Y1066" s="1710"/>
      <c r="Z1066" s="1712"/>
      <c r="AA1066" s="1710"/>
      <c r="AB1066" s="1711">
        <f>SUM(AB1067:AB1072)</f>
        <v>1085700950</v>
      </c>
      <c r="AC1066" s="1667"/>
      <c r="AD1066" s="1667"/>
      <c r="AE1066" s="1666" t="s">
        <v>2418</v>
      </c>
      <c r="AF1066" s="2325"/>
      <c r="AG1066" s="2326"/>
      <c r="AH1066" s="2326"/>
      <c r="AI1066" s="2326"/>
      <c r="AJ1066" s="2326"/>
      <c r="AK1066" s="2326"/>
      <c r="AL1066" s="2326"/>
      <c r="AM1066" s="2326"/>
      <c r="AN1066" s="2326"/>
      <c r="AO1066" s="2326"/>
      <c r="AP1066" s="2326"/>
      <c r="AQ1066" s="2326"/>
      <c r="AR1066" s="2326"/>
      <c r="AS1066" s="2326"/>
      <c r="AT1066" s="2326"/>
      <c r="AU1066" s="2326"/>
      <c r="AV1066" s="2326"/>
      <c r="AW1066" s="2326"/>
      <c r="AX1066" s="2326"/>
      <c r="AY1066" s="2326"/>
      <c r="AZ1066" s="2326"/>
      <c r="BA1066" s="2326"/>
      <c r="BB1066" s="2326"/>
      <c r="BC1066" s="2326"/>
      <c r="BD1066" s="2326"/>
      <c r="BE1066" s="2326"/>
      <c r="BF1066" s="2326"/>
      <c r="BG1066" s="2326"/>
      <c r="BH1066" s="2326"/>
      <c r="BI1066" s="2326"/>
      <c r="BJ1066" s="2327"/>
    </row>
    <row r="1067" spans="1:62" s="244" customFormat="1" ht="76.5">
      <c r="A1067" s="1713"/>
      <c r="B1067" s="1714"/>
      <c r="C1067" s="1715">
        <v>2</v>
      </c>
      <c r="D1067" s="1715">
        <v>1</v>
      </c>
      <c r="E1067" s="1905" t="s">
        <v>65</v>
      </c>
      <c r="F1067" s="1715">
        <v>13</v>
      </c>
      <c r="G1067" s="1715">
        <v>16</v>
      </c>
      <c r="H1067" s="1715">
        <v>8</v>
      </c>
      <c r="I1067" s="1716" t="s">
        <v>2438</v>
      </c>
      <c r="J1067" s="1717" t="s">
        <v>2439</v>
      </c>
      <c r="K1067" s="1718">
        <v>500</v>
      </c>
      <c r="L1067" s="1719">
        <v>1229153425</v>
      </c>
      <c r="M1067" s="1720">
        <f>'[5]triwulan II (2)'!$AG$90</f>
        <v>98.64</v>
      </c>
      <c r="N1067" s="1721">
        <f>'[5]triwulan II (2)'!$AH$90</f>
        <v>495895500</v>
      </c>
      <c r="O1067" s="1722">
        <v>100</v>
      </c>
      <c r="P1067" s="1723">
        <v>188189000</v>
      </c>
      <c r="Q1067" s="1724" t="str">
        <f>'[1]Maret 2018'!$I$80</f>
        <v>-</v>
      </c>
      <c r="R1067" s="1725">
        <v>13421700</v>
      </c>
      <c r="S1067" s="1713"/>
      <c r="T1067" s="1713"/>
      <c r="U1067" s="1713"/>
      <c r="V1067" s="1713"/>
      <c r="W1067" s="1713"/>
      <c r="X1067" s="1713"/>
      <c r="Y1067" s="1724">
        <v>0</v>
      </c>
      <c r="Z1067" s="1725">
        <v>13421700</v>
      </c>
      <c r="AA1067" s="1724">
        <f t="shared" ref="AA1067:AB1069" si="280">M1067+Y1067</f>
        <v>98.64</v>
      </c>
      <c r="AB1067" s="1725">
        <f t="shared" si="280"/>
        <v>509317200</v>
      </c>
      <c r="AC1067" s="13">
        <f>AA1067/K1067*100</f>
        <v>19.728000000000002</v>
      </c>
      <c r="AD1067" s="1668">
        <f>AB1067/L1067*100</f>
        <v>41.436421982878173</v>
      </c>
      <c r="AE1067" s="24" t="s">
        <v>2418</v>
      </c>
      <c r="AF1067" s="220">
        <v>10</v>
      </c>
      <c r="AG1067" s="286"/>
      <c r="AH1067" s="288" t="s">
        <v>66</v>
      </c>
      <c r="AI1067" s="288" t="s">
        <v>66</v>
      </c>
      <c r="AJ1067" s="289" t="s">
        <v>66</v>
      </c>
      <c r="AK1067" s="288" t="s">
        <v>66</v>
      </c>
      <c r="AL1067" s="288">
        <v>16</v>
      </c>
      <c r="AM1067" s="247"/>
      <c r="AN1067" s="286" t="s">
        <v>186</v>
      </c>
      <c r="AO1067" s="286" t="s">
        <v>187</v>
      </c>
      <c r="AP1067" s="291">
        <v>100</v>
      </c>
      <c r="AQ1067" s="291">
        <f t="shared" ref="AQ1067:AW1067" si="281">SUM(AQ1068:AQ1070)</f>
        <v>2080903</v>
      </c>
      <c r="AR1067" s="290">
        <f>AY1067*2</f>
        <v>33.333333333333336</v>
      </c>
      <c r="AS1067" s="291">
        <f t="shared" si="281"/>
        <v>620000</v>
      </c>
      <c r="AT1067" s="290">
        <f>AY1067</f>
        <v>16.666666666666668</v>
      </c>
      <c r="AU1067" s="292">
        <f t="shared" si="281"/>
        <v>480903</v>
      </c>
      <c r="AV1067" s="290">
        <f>AT1067/4</f>
        <v>4.166666666666667</v>
      </c>
      <c r="AW1067" s="291">
        <f t="shared" si="281"/>
        <v>324402</v>
      </c>
      <c r="AX1067" s="245"/>
      <c r="AY1067" s="339">
        <f>AP1067/6</f>
        <v>16.666666666666668</v>
      </c>
      <c r="AZ1067" s="245"/>
      <c r="BA1067" s="252"/>
      <c r="BB1067" s="245"/>
      <c r="BC1067" s="252"/>
      <c r="BD1067" s="218">
        <f>AV1067+AX1067+AZ1067+BB1067</f>
        <v>4.166666666666667</v>
      </c>
      <c r="BE1067" s="219">
        <f>SUM(BE1068:BE1070)</f>
        <v>324402</v>
      </c>
      <c r="BF1067" s="220">
        <f>AR1067+BD1067</f>
        <v>37.5</v>
      </c>
      <c r="BG1067" s="221">
        <f>SUM(BG1068:BG1070)</f>
        <v>944402</v>
      </c>
      <c r="BH1067" s="222">
        <f>(BF1067/AP1067)*100</f>
        <v>37.5</v>
      </c>
      <c r="BI1067" s="222">
        <f t="shared" ref="BI1067:BI1070" si="282">(BG1067/AQ1067)*100</f>
        <v>45.384239438359216</v>
      </c>
      <c r="BJ1067" s="161" t="s">
        <v>175</v>
      </c>
    </row>
    <row r="1068" spans="1:62" s="244" customFormat="1" ht="51" customHeight="1">
      <c r="A1068" s="754"/>
      <c r="B1068" s="1726"/>
      <c r="C1068" s="1727">
        <v>2</v>
      </c>
      <c r="D1068" s="1727">
        <v>1</v>
      </c>
      <c r="E1068" s="1905" t="s">
        <v>65</v>
      </c>
      <c r="F1068" s="1727">
        <v>13</v>
      </c>
      <c r="G1068" s="1727">
        <v>16</v>
      </c>
      <c r="H1068" s="1727">
        <v>16</v>
      </c>
      <c r="I1068" s="1728" t="s">
        <v>2440</v>
      </c>
      <c r="J1068" s="728" t="s">
        <v>2441</v>
      </c>
      <c r="K1068" s="1729">
        <v>500</v>
      </c>
      <c r="L1068" s="1719">
        <v>318716500</v>
      </c>
      <c r="M1068" s="1720">
        <f>'[5]triwulan II (2)'!$AG$92</f>
        <v>97.22</v>
      </c>
      <c r="N1068" s="1721">
        <f>'[5]triwulan II (2)'!$AH$92</f>
        <v>80069050</v>
      </c>
      <c r="O1068" s="1730">
        <v>100</v>
      </c>
      <c r="P1068" s="1731">
        <v>33438000</v>
      </c>
      <c r="Q1068" s="1732">
        <f>'[1]Maret 2018'!$I$93</f>
        <v>6.8371799902495867E-2</v>
      </c>
      <c r="R1068" s="1731">
        <v>11227000</v>
      </c>
      <c r="S1068" s="754"/>
      <c r="T1068" s="754"/>
      <c r="U1068" s="754"/>
      <c r="V1068" s="754"/>
      <c r="W1068" s="754"/>
      <c r="X1068" s="754"/>
      <c r="Y1068" s="1733">
        <f t="shared" ref="Y1068:Y1072" si="283">Q1068</f>
        <v>6.8371799902495867E-2</v>
      </c>
      <c r="Z1068" s="1731">
        <v>11227000</v>
      </c>
      <c r="AA1068" s="1733">
        <f t="shared" si="280"/>
        <v>97.288371799902492</v>
      </c>
      <c r="AB1068" s="1731">
        <f t="shared" si="280"/>
        <v>91296050</v>
      </c>
      <c r="AC1068" s="13">
        <f>AA1068/K1068*100</f>
        <v>19.457674359980498</v>
      </c>
      <c r="AD1068" s="17">
        <f t="shared" ref="AD1068:AD1072" si="284">AB1068/L1068*100</f>
        <v>28.644908562939165</v>
      </c>
      <c r="AE1068" s="24" t="s">
        <v>2418</v>
      </c>
      <c r="AF1068" s="236">
        <v>1</v>
      </c>
      <c r="AG1068" s="233"/>
      <c r="AH1068" s="247" t="s">
        <v>66</v>
      </c>
      <c r="AI1068" s="247" t="s">
        <v>66</v>
      </c>
      <c r="AJ1068" s="238" t="s">
        <v>66</v>
      </c>
      <c r="AK1068" s="247" t="s">
        <v>66</v>
      </c>
      <c r="AL1068" s="247">
        <v>16</v>
      </c>
      <c r="AM1068" s="247">
        <v>15</v>
      </c>
      <c r="AN1068" s="233" t="s">
        <v>188</v>
      </c>
      <c r="AO1068" s="233" t="s">
        <v>189</v>
      </c>
      <c r="AP1068" s="245">
        <v>1</v>
      </c>
      <c r="AQ1068" s="256">
        <v>128722</v>
      </c>
      <c r="AR1068" s="245">
        <v>0</v>
      </c>
      <c r="AS1068" s="336">
        <v>0</v>
      </c>
      <c r="AT1068" s="245">
        <v>1</v>
      </c>
      <c r="AU1068" s="256">
        <v>128722</v>
      </c>
      <c r="AV1068" s="245">
        <v>1</v>
      </c>
      <c r="AW1068" s="256">
        <v>2396</v>
      </c>
      <c r="AX1068" s="245"/>
      <c r="AY1068" s="252"/>
      <c r="AZ1068" s="245"/>
      <c r="BA1068" s="252"/>
      <c r="BB1068" s="245"/>
      <c r="BC1068" s="252"/>
      <c r="BD1068" s="223">
        <f t="shared" ref="BD1068:BE1070" si="285">AV1068+AX1068+AZ1068+BB1068</f>
        <v>1</v>
      </c>
      <c r="BE1068" s="224">
        <f t="shared" si="285"/>
        <v>2396</v>
      </c>
      <c r="BF1068" s="225">
        <f>AR1068+BD1068</f>
        <v>1</v>
      </c>
      <c r="BG1068" s="226">
        <f>AS1068+BE1068</f>
        <v>2396</v>
      </c>
      <c r="BH1068" s="227">
        <f>(BF1068/AP1068)*100</f>
        <v>100</v>
      </c>
      <c r="BI1068" s="227">
        <f t="shared" si="282"/>
        <v>1.8613756778173118</v>
      </c>
      <c r="BJ1068" s="233" t="s">
        <v>175</v>
      </c>
    </row>
    <row r="1069" spans="1:62" s="244" customFormat="1" ht="30.75" customHeight="1">
      <c r="A1069" s="64"/>
      <c r="B1069" s="754"/>
      <c r="C1069" s="1727">
        <v>2</v>
      </c>
      <c r="D1069" s="1727">
        <v>1</v>
      </c>
      <c r="E1069" s="1905" t="s">
        <v>65</v>
      </c>
      <c r="F1069" s="1727">
        <v>13</v>
      </c>
      <c r="G1069" s="1727">
        <v>16</v>
      </c>
      <c r="H1069" s="1727">
        <v>18</v>
      </c>
      <c r="I1069" s="1200" t="s">
        <v>2442</v>
      </c>
      <c r="J1069" s="1734" t="s">
        <v>2443</v>
      </c>
      <c r="K1069" s="1729">
        <v>500</v>
      </c>
      <c r="L1069" s="1719">
        <v>1847355680</v>
      </c>
      <c r="M1069" s="1735">
        <f>'[5]triwulan II (2)'!$AG$93</f>
        <v>99.990000000000009</v>
      </c>
      <c r="N1069" s="1736">
        <f>'[5]triwulan II (2)'!$AH$93</f>
        <v>263614800</v>
      </c>
      <c r="O1069" s="1730">
        <v>100</v>
      </c>
      <c r="P1069" s="1731">
        <v>473350000</v>
      </c>
      <c r="Q1069" s="1733" t="e">
        <f>'[1]Maret 2018'!$I$84</f>
        <v>#REF!</v>
      </c>
      <c r="R1069" s="1731">
        <v>66395000</v>
      </c>
      <c r="S1069" s="754"/>
      <c r="T1069" s="754"/>
      <c r="U1069" s="754"/>
      <c r="V1069" s="754"/>
      <c r="W1069" s="754"/>
      <c r="X1069" s="754"/>
      <c r="Y1069" s="1733" t="e">
        <f t="shared" si="283"/>
        <v>#REF!</v>
      </c>
      <c r="Z1069" s="1731">
        <v>66395000</v>
      </c>
      <c r="AA1069" s="1733" t="e">
        <f t="shared" si="280"/>
        <v>#REF!</v>
      </c>
      <c r="AB1069" s="1731">
        <f t="shared" si="280"/>
        <v>330009800</v>
      </c>
      <c r="AC1069" s="13" t="e">
        <f t="shared" ref="AC1069:AC1072" si="286">AA1069/K1069*100</f>
        <v>#REF!</v>
      </c>
      <c r="AD1069" s="19">
        <f t="shared" si="284"/>
        <v>17.863901552515323</v>
      </c>
      <c r="AE1069" s="24" t="s">
        <v>2418</v>
      </c>
      <c r="AF1069" s="236">
        <v>2</v>
      </c>
      <c r="AG1069" s="233"/>
      <c r="AH1069" s="247" t="s">
        <v>66</v>
      </c>
      <c r="AI1069" s="247" t="s">
        <v>66</v>
      </c>
      <c r="AJ1069" s="238" t="s">
        <v>66</v>
      </c>
      <c r="AK1069" s="247" t="s">
        <v>66</v>
      </c>
      <c r="AL1069" s="247" t="s">
        <v>166</v>
      </c>
      <c r="AM1069" s="247" t="s">
        <v>164</v>
      </c>
      <c r="AN1069" s="246" t="s">
        <v>190</v>
      </c>
      <c r="AO1069" s="246" t="s">
        <v>191</v>
      </c>
      <c r="AP1069" s="248">
        <f>6*6</f>
        <v>36</v>
      </c>
      <c r="AQ1069" s="224">
        <f>310000*6</f>
        <v>1860000</v>
      </c>
      <c r="AR1069" s="247">
        <f>6*2</f>
        <v>12</v>
      </c>
      <c r="AS1069" s="224">
        <f>310000*2</f>
        <v>620000</v>
      </c>
      <c r="AT1069" s="248">
        <v>6</v>
      </c>
      <c r="AU1069" s="224">
        <f>310000*1</f>
        <v>310000</v>
      </c>
      <c r="AV1069" s="247">
        <v>6</v>
      </c>
      <c r="AW1069" s="224">
        <v>310000</v>
      </c>
      <c r="AX1069" s="248"/>
      <c r="AY1069" s="240"/>
      <c r="AZ1069" s="248"/>
      <c r="BA1069" s="338"/>
      <c r="BB1069" s="248"/>
      <c r="BC1069" s="338"/>
      <c r="BD1069" s="223">
        <f t="shared" si="285"/>
        <v>6</v>
      </c>
      <c r="BE1069" s="224">
        <f t="shared" si="285"/>
        <v>310000</v>
      </c>
      <c r="BF1069" s="225">
        <f t="shared" ref="BF1069:BG1070" si="287">AR1069+BD1069</f>
        <v>18</v>
      </c>
      <c r="BG1069" s="226">
        <f t="shared" si="287"/>
        <v>930000</v>
      </c>
      <c r="BH1069" s="227">
        <f t="shared" ref="BH1069:BH1070" si="288">(BF1069/AP1069)*100</f>
        <v>50</v>
      </c>
      <c r="BI1069" s="227">
        <f t="shared" si="282"/>
        <v>50</v>
      </c>
      <c r="BJ1069" s="233" t="s">
        <v>175</v>
      </c>
    </row>
    <row r="1070" spans="1:62" s="244" customFormat="1" ht="43.5" customHeight="1">
      <c r="A1070" s="64"/>
      <c r="B1070" s="754"/>
      <c r="C1070" s="1727">
        <v>2</v>
      </c>
      <c r="D1070" s="1727">
        <v>1</v>
      </c>
      <c r="E1070" s="1905" t="s">
        <v>65</v>
      </c>
      <c r="F1070" s="1727">
        <v>13</v>
      </c>
      <c r="G1070" s="1727">
        <v>16</v>
      </c>
      <c r="H1070" s="1415">
        <v>94</v>
      </c>
      <c r="I1070" s="1200" t="s">
        <v>2444</v>
      </c>
      <c r="J1070" s="728" t="s">
        <v>2445</v>
      </c>
      <c r="K1070" s="1737">
        <v>500</v>
      </c>
      <c r="L1070" s="1731">
        <v>4000000000</v>
      </c>
      <c r="M1070" s="754">
        <v>79.64</v>
      </c>
      <c r="N1070" s="1731">
        <v>1991088284</v>
      </c>
      <c r="O1070" s="754">
        <v>100</v>
      </c>
      <c r="P1070" s="1731">
        <v>1681980000</v>
      </c>
      <c r="Q1070" s="1733" t="e">
        <f>'[1]Maret 2018'!$I$90</f>
        <v>#REF!</v>
      </c>
      <c r="R1070" s="1731">
        <v>1150000</v>
      </c>
      <c r="S1070" s="754"/>
      <c r="T1070" s="754"/>
      <c r="U1070" s="754"/>
      <c r="V1070" s="754"/>
      <c r="W1070" s="754"/>
      <c r="X1070" s="754"/>
      <c r="Y1070" s="1733" t="e">
        <f t="shared" si="283"/>
        <v>#REF!</v>
      </c>
      <c r="Z1070" s="1731">
        <v>1150000</v>
      </c>
      <c r="AA1070" s="1733">
        <f>M1071+Y1071</f>
        <v>133.57557270171662</v>
      </c>
      <c r="AB1070" s="1731">
        <v>1150000</v>
      </c>
      <c r="AC1070" s="13">
        <f t="shared" si="286"/>
        <v>26.715114540343325</v>
      </c>
      <c r="AD1070" s="19">
        <f t="shared" si="284"/>
        <v>2.8749999999999998E-2</v>
      </c>
      <c r="AE1070" s="24" t="s">
        <v>2418</v>
      </c>
      <c r="AF1070" s="236">
        <v>3</v>
      </c>
      <c r="AG1070" s="233"/>
      <c r="AH1070" s="247" t="s">
        <v>66</v>
      </c>
      <c r="AI1070" s="247" t="s">
        <v>66</v>
      </c>
      <c r="AJ1070" s="238" t="s">
        <v>66</v>
      </c>
      <c r="AK1070" s="247" t="s">
        <v>66</v>
      </c>
      <c r="AL1070" s="247">
        <v>16</v>
      </c>
      <c r="AM1070" s="247">
        <v>47</v>
      </c>
      <c r="AN1070" s="246" t="s">
        <v>192</v>
      </c>
      <c r="AO1070" s="246" t="s">
        <v>193</v>
      </c>
      <c r="AP1070" s="248">
        <v>60</v>
      </c>
      <c r="AQ1070" s="224">
        <v>92181</v>
      </c>
      <c r="AR1070" s="247">
        <v>0</v>
      </c>
      <c r="AS1070" s="336">
        <v>0</v>
      </c>
      <c r="AT1070" s="248">
        <v>30</v>
      </c>
      <c r="AU1070" s="250">
        <v>42181</v>
      </c>
      <c r="AV1070" s="340">
        <v>20</v>
      </c>
      <c r="AW1070" s="224">
        <v>12006</v>
      </c>
      <c r="AX1070" s="245"/>
      <c r="AY1070" s="252"/>
      <c r="AZ1070" s="245"/>
      <c r="BA1070" s="252"/>
      <c r="BB1070" s="245"/>
      <c r="BC1070" s="252"/>
      <c r="BD1070" s="223">
        <f t="shared" si="285"/>
        <v>20</v>
      </c>
      <c r="BE1070" s="224">
        <f t="shared" si="285"/>
        <v>12006</v>
      </c>
      <c r="BF1070" s="225">
        <f t="shared" si="287"/>
        <v>20</v>
      </c>
      <c r="BG1070" s="226">
        <f t="shared" si="287"/>
        <v>12006</v>
      </c>
      <c r="BH1070" s="227">
        <f t="shared" si="288"/>
        <v>33.333333333333329</v>
      </c>
      <c r="BI1070" s="227">
        <f t="shared" si="282"/>
        <v>13.024375955999609</v>
      </c>
      <c r="BJ1070" s="233" t="s">
        <v>175</v>
      </c>
    </row>
    <row r="1071" spans="1:62" ht="22.5" customHeight="1">
      <c r="A1071" s="64"/>
      <c r="B1071" s="754"/>
      <c r="C1071" s="1727">
        <v>2</v>
      </c>
      <c r="D1071" s="1727">
        <v>1</v>
      </c>
      <c r="E1071" s="1905" t="s">
        <v>65</v>
      </c>
      <c r="F1071" s="1727">
        <v>13</v>
      </c>
      <c r="G1071" s="1727">
        <v>16</v>
      </c>
      <c r="H1071" s="1727">
        <v>93</v>
      </c>
      <c r="I1071" s="1728" t="s">
        <v>2446</v>
      </c>
      <c r="J1071" s="1734" t="s">
        <v>2447</v>
      </c>
      <c r="K1071" s="1738">
        <v>500</v>
      </c>
      <c r="L1071" s="1739">
        <v>425912000</v>
      </c>
      <c r="M1071" s="1721">
        <f>'[5]triwulan II (2)'!$AG$120</f>
        <v>100</v>
      </c>
      <c r="N1071" s="1740">
        <f>'[5]triwulan II (2)'!$AH$120</f>
        <v>80022400</v>
      </c>
      <c r="O1071" s="1730">
        <v>100</v>
      </c>
      <c r="P1071" s="1731">
        <v>263672500</v>
      </c>
      <c r="Q1071" s="1733">
        <f>'[1]Maret 2018'!$I$97</f>
        <v>33.575572701716609</v>
      </c>
      <c r="R1071" s="1731">
        <v>73580500</v>
      </c>
      <c r="S1071" s="754"/>
      <c r="T1071" s="754"/>
      <c r="U1071" s="754"/>
      <c r="V1071" s="754"/>
      <c r="W1071" s="754"/>
      <c r="X1071" s="754"/>
      <c r="Y1071" s="1733">
        <f t="shared" si="283"/>
        <v>33.575572701716609</v>
      </c>
      <c r="Z1071" s="1731">
        <v>73580500</v>
      </c>
      <c r="AA1071" s="1733">
        <f>M1071+Y1071</f>
        <v>133.57557270171662</v>
      </c>
      <c r="AB1071" s="1731">
        <f>N1071+Z1071</f>
        <v>153602900</v>
      </c>
      <c r="AC1071" s="13">
        <f t="shared" si="286"/>
        <v>26.715114540343325</v>
      </c>
      <c r="AD1071" s="19">
        <f t="shared" si="284"/>
        <v>36.064468716542386</v>
      </c>
      <c r="AE1071" s="24" t="s">
        <v>2418</v>
      </c>
      <c r="AF1071" s="2509"/>
      <c r="AG1071" s="2510"/>
      <c r="AH1071" s="2510"/>
      <c r="AI1071" s="2510"/>
      <c r="AJ1071" s="2510"/>
      <c r="AK1071" s="2510"/>
      <c r="AL1071" s="2510"/>
      <c r="AM1071" s="2510"/>
      <c r="AN1071" s="2510"/>
      <c r="AO1071" s="2510"/>
      <c r="AP1071" s="2510"/>
      <c r="AQ1071" s="2510"/>
      <c r="AR1071" s="2510"/>
      <c r="AS1071" s="2510"/>
      <c r="AT1071" s="2510"/>
      <c r="AU1071" s="2510"/>
      <c r="AV1071" s="2510"/>
      <c r="AW1071" s="2510"/>
      <c r="AX1071" s="2510"/>
      <c r="AY1071" s="2510"/>
      <c r="AZ1071" s="2510"/>
      <c r="BA1071" s="2510"/>
      <c r="BB1071" s="2510"/>
      <c r="BC1071" s="2510"/>
      <c r="BD1071" s="2510"/>
      <c r="BE1071" s="2510"/>
      <c r="BF1071" s="2510"/>
      <c r="BG1071" s="2510"/>
      <c r="BH1071" s="2510"/>
      <c r="BI1071" s="2510"/>
      <c r="BJ1071" s="2511"/>
    </row>
    <row r="1072" spans="1:62" s="69" customFormat="1" ht="27" customHeight="1">
      <c r="A1072" s="64"/>
      <c r="B1072" s="754"/>
      <c r="C1072" s="1727">
        <v>2</v>
      </c>
      <c r="D1072" s="1727">
        <v>1</v>
      </c>
      <c r="E1072" s="1905" t="s">
        <v>65</v>
      </c>
      <c r="F1072" s="1727">
        <v>13</v>
      </c>
      <c r="G1072" s="1727">
        <v>16</v>
      </c>
      <c r="H1072" s="1415">
        <v>98</v>
      </c>
      <c r="I1072" s="1200" t="s">
        <v>2448</v>
      </c>
      <c r="J1072" s="728" t="s">
        <v>2449</v>
      </c>
      <c r="K1072" s="1729">
        <v>500</v>
      </c>
      <c r="L1072" s="1741">
        <v>457365200</v>
      </c>
      <c r="M1072" s="754"/>
      <c r="N1072" s="1731"/>
      <c r="O1072" s="754">
        <v>100</v>
      </c>
      <c r="P1072" s="1731">
        <v>69999900</v>
      </c>
      <c r="Q1072" s="1733" t="e">
        <f>'[1]Maret 2018'!$I$101</f>
        <v>#REF!</v>
      </c>
      <c r="R1072" s="1731">
        <v>325000</v>
      </c>
      <c r="S1072" s="754"/>
      <c r="T1072" s="754"/>
      <c r="U1072" s="754"/>
      <c r="V1072" s="754"/>
      <c r="W1072" s="754"/>
      <c r="X1072" s="754"/>
      <c r="Y1072" s="1733" t="e">
        <f t="shared" si="283"/>
        <v>#REF!</v>
      </c>
      <c r="Z1072" s="1731">
        <v>325000</v>
      </c>
      <c r="AA1072" s="1733" t="e">
        <f>M1072+Y1072</f>
        <v>#REF!</v>
      </c>
      <c r="AB1072" s="1731">
        <v>325000</v>
      </c>
      <c r="AC1072" s="13" t="e">
        <f t="shared" si="286"/>
        <v>#REF!</v>
      </c>
      <c r="AD1072" s="19">
        <f t="shared" si="284"/>
        <v>7.1059188587150934E-2</v>
      </c>
      <c r="AE1072" s="24" t="s">
        <v>2418</v>
      </c>
      <c r="AF1072" s="109">
        <v>23</v>
      </c>
      <c r="AG1072" s="109"/>
      <c r="AH1072" s="109"/>
      <c r="AI1072" s="109"/>
      <c r="AJ1072" s="109"/>
      <c r="AK1072" s="109"/>
      <c r="AL1072" s="109"/>
      <c r="AM1072" s="109"/>
      <c r="AN1072" s="110" t="s">
        <v>194</v>
      </c>
      <c r="AO1072" s="109"/>
      <c r="AP1072" s="109"/>
      <c r="AQ1072" s="109"/>
      <c r="AR1072" s="109"/>
      <c r="AS1072" s="109"/>
      <c r="AT1072" s="109"/>
      <c r="AU1072" s="109"/>
      <c r="AV1072" s="109"/>
      <c r="AW1072" s="109"/>
      <c r="AX1072" s="109"/>
      <c r="AY1072" s="109"/>
      <c r="AZ1072" s="109"/>
      <c r="BA1072" s="109"/>
      <c r="BB1072" s="109"/>
      <c r="BC1072" s="109"/>
      <c r="BD1072" s="567"/>
      <c r="BE1072" s="109"/>
      <c r="BF1072" s="109"/>
      <c r="BG1072" s="109"/>
      <c r="BH1072" s="109"/>
      <c r="BI1072" s="109"/>
      <c r="BJ1072" s="109"/>
    </row>
    <row r="1073" spans="1:66" s="65" customFormat="1" ht="38.25">
      <c r="A1073" s="1742"/>
      <c r="B1073" s="1743"/>
      <c r="C1073" s="1744" t="s">
        <v>2006</v>
      </c>
      <c r="D1073" s="1744" t="s">
        <v>66</v>
      </c>
      <c r="E1073" s="1744" t="s">
        <v>65</v>
      </c>
      <c r="F1073" s="1744" t="s">
        <v>155</v>
      </c>
      <c r="G1073" s="1745"/>
      <c r="H1073" s="1745"/>
      <c r="I1073" s="1745" t="s">
        <v>2450</v>
      </c>
      <c r="J1073" s="1746" t="s">
        <v>2451</v>
      </c>
      <c r="K1073" s="1747"/>
      <c r="L1073" s="1748"/>
      <c r="M1073" s="1749"/>
      <c r="N1073" s="1748"/>
      <c r="O1073" s="1749"/>
      <c r="P1073" s="1748">
        <f>SUM(P1074:P1077)</f>
        <v>1465480600</v>
      </c>
      <c r="Q1073" s="1749"/>
      <c r="R1073" s="1748"/>
      <c r="S1073" s="1749"/>
      <c r="T1073" s="1749"/>
      <c r="U1073" s="1749"/>
      <c r="V1073" s="1749"/>
      <c r="W1073" s="1749"/>
      <c r="X1073" s="1749"/>
      <c r="Y1073" s="1749"/>
      <c r="Z1073" s="1748"/>
      <c r="AA1073" s="1749"/>
      <c r="AB1073" s="1748">
        <f>SUM(AB1074:AB1077)</f>
        <v>1168963150</v>
      </c>
      <c r="AC1073" s="1671"/>
      <c r="AD1073" s="1671"/>
      <c r="AE1073" s="1670" t="s">
        <v>2418</v>
      </c>
      <c r="AF1073" s="123"/>
      <c r="AG1073" s="130"/>
      <c r="AH1073" s="117"/>
      <c r="AI1073" s="117"/>
      <c r="AJ1073" s="118"/>
      <c r="AK1073" s="117"/>
      <c r="AL1073" s="117"/>
      <c r="AM1073" s="127"/>
      <c r="AN1073" s="131"/>
      <c r="AO1073" s="132"/>
      <c r="AP1073" s="123"/>
      <c r="AQ1073" s="128"/>
      <c r="AR1073" s="123"/>
      <c r="AS1073" s="129"/>
      <c r="AT1073" s="123"/>
      <c r="AU1073" s="129"/>
      <c r="AV1073" s="119"/>
      <c r="AW1073" s="129"/>
      <c r="AX1073" s="120"/>
      <c r="AY1073" s="120"/>
      <c r="AZ1073" s="120"/>
      <c r="BA1073" s="120"/>
      <c r="BB1073" s="120"/>
      <c r="BC1073" s="121"/>
      <c r="BD1073" s="122"/>
      <c r="BE1073" s="129"/>
      <c r="BF1073" s="123"/>
      <c r="BG1073" s="124"/>
      <c r="BH1073" s="125"/>
      <c r="BI1073" s="126"/>
      <c r="BJ1073" s="130"/>
    </row>
    <row r="1074" spans="1:66" s="69" customFormat="1" ht="27.75" customHeight="1">
      <c r="A1074" s="64"/>
      <c r="B1074" s="1750"/>
      <c r="C1074" s="1751" t="s">
        <v>2006</v>
      </c>
      <c r="D1074" s="1751" t="s">
        <v>66</v>
      </c>
      <c r="E1074" s="1751" t="s">
        <v>65</v>
      </c>
      <c r="F1074" s="1751">
        <v>13</v>
      </c>
      <c r="G1074" s="1752">
        <v>15</v>
      </c>
      <c r="H1074" s="1753">
        <v>11</v>
      </c>
      <c r="I1074" s="1754" t="s">
        <v>2452</v>
      </c>
      <c r="J1074" s="1755" t="s">
        <v>2453</v>
      </c>
      <c r="K1074" s="1756">
        <v>5</v>
      </c>
      <c r="L1074" s="1757">
        <v>3369697000</v>
      </c>
      <c r="M1074" s="1758">
        <v>1</v>
      </c>
      <c r="N1074" s="1759">
        <f>'[5]triwulan II (2)'!$AH$74</f>
        <v>585839100</v>
      </c>
      <c r="O1074" s="1760">
        <v>1</v>
      </c>
      <c r="P1074" s="1387">
        <v>525007000</v>
      </c>
      <c r="Q1074" s="1732">
        <f>'[1]Maret 2018'!$I$66</f>
        <v>3.9562857399818192</v>
      </c>
      <c r="R1074" s="1387">
        <v>1250000</v>
      </c>
      <c r="S1074" s="1385"/>
      <c r="T1074" s="1385"/>
      <c r="U1074" s="1385"/>
      <c r="V1074" s="1385"/>
      <c r="W1074" s="1385"/>
      <c r="X1074" s="1385"/>
      <c r="Y1074" s="1732">
        <v>0</v>
      </c>
      <c r="Z1074" s="1387">
        <v>1250000</v>
      </c>
      <c r="AA1074" s="1732">
        <f t="shared" ref="AA1074:AB1076" si="289">M1074+Y1074</f>
        <v>1</v>
      </c>
      <c r="AB1074" s="1387">
        <f t="shared" si="289"/>
        <v>587089100</v>
      </c>
      <c r="AC1074" s="1672">
        <f>AA1074/K1074*100</f>
        <v>20</v>
      </c>
      <c r="AD1074" s="1672">
        <f>AB1074/L1074*100</f>
        <v>17.422608026775109</v>
      </c>
      <c r="AE1074" s="1402" t="s">
        <v>2418</v>
      </c>
      <c r="AF1074" s="134">
        <v>24</v>
      </c>
      <c r="AG1074" s="134"/>
      <c r="AH1074" s="134"/>
      <c r="AI1074" s="134"/>
      <c r="AJ1074" s="134"/>
      <c r="AK1074" s="134"/>
      <c r="AL1074" s="134"/>
      <c r="AM1074" s="134"/>
      <c r="AN1074" s="135" t="s">
        <v>210</v>
      </c>
      <c r="AO1074" s="134"/>
      <c r="AP1074" s="134"/>
      <c r="AQ1074" s="134"/>
      <c r="AR1074" s="134"/>
      <c r="AS1074" s="134"/>
      <c r="AT1074" s="134"/>
      <c r="AU1074" s="134"/>
      <c r="AV1074" s="134"/>
      <c r="AW1074" s="134"/>
      <c r="AX1074" s="134"/>
      <c r="AY1074" s="134"/>
      <c r="AZ1074" s="134"/>
      <c r="BA1074" s="134"/>
      <c r="BB1074" s="134"/>
      <c r="BC1074" s="134"/>
      <c r="BD1074" s="569"/>
      <c r="BE1074" s="134"/>
      <c r="BF1074" s="134"/>
      <c r="BG1074" s="134"/>
      <c r="BH1074" s="134"/>
      <c r="BI1074" s="134"/>
      <c r="BJ1074" s="134"/>
    </row>
    <row r="1075" spans="1:66" ht="38.25">
      <c r="A1075" s="64"/>
      <c r="B1075" s="1750"/>
      <c r="C1075" s="1751" t="s">
        <v>2006</v>
      </c>
      <c r="D1075" s="1751" t="s">
        <v>66</v>
      </c>
      <c r="E1075" s="1751" t="s">
        <v>65</v>
      </c>
      <c r="F1075" s="1751">
        <v>13</v>
      </c>
      <c r="G1075" s="1761">
        <v>15</v>
      </c>
      <c r="H1075" s="1753">
        <v>14</v>
      </c>
      <c r="I1075" s="1762" t="s">
        <v>2454</v>
      </c>
      <c r="J1075" s="1762" t="s">
        <v>2455</v>
      </c>
      <c r="K1075" s="1763">
        <v>500</v>
      </c>
      <c r="L1075" s="1764">
        <v>3080681500</v>
      </c>
      <c r="M1075" s="1758">
        <f>'[5]triwulan II (2)'!$AG$76</f>
        <v>82.62</v>
      </c>
      <c r="N1075" s="1759">
        <f>'[5]triwulan II (2)'!$AH$76</f>
        <v>447533050</v>
      </c>
      <c r="O1075" s="1765">
        <v>100</v>
      </c>
      <c r="P1075" s="1387">
        <v>539075000</v>
      </c>
      <c r="Q1075" s="1732" t="e">
        <f>'[1]Maret 2018'!$I$70</f>
        <v>#REF!</v>
      </c>
      <c r="R1075" s="1387">
        <v>44583800</v>
      </c>
      <c r="S1075" s="1385"/>
      <c r="T1075" s="1385"/>
      <c r="U1075" s="1385"/>
      <c r="V1075" s="1385"/>
      <c r="W1075" s="1385"/>
      <c r="X1075" s="1385"/>
      <c r="Y1075" s="1732" t="e">
        <f>Q1075</f>
        <v>#REF!</v>
      </c>
      <c r="Z1075" s="1387">
        <v>44583800</v>
      </c>
      <c r="AA1075" s="1732" t="e">
        <f t="shared" si="289"/>
        <v>#REF!</v>
      </c>
      <c r="AB1075" s="1387">
        <f t="shared" si="289"/>
        <v>492116850</v>
      </c>
      <c r="AC1075" s="1672" t="e">
        <f>AA1075/K1075*100</f>
        <v>#REF!</v>
      </c>
      <c r="AD1075" s="1672">
        <f>AB1075/L1075*100</f>
        <v>15.974285235263691</v>
      </c>
      <c r="AE1075" s="1402" t="s">
        <v>2418</v>
      </c>
      <c r="AF1075" s="146"/>
      <c r="AG1075" s="116"/>
      <c r="AH1075" s="133"/>
      <c r="AI1075" s="133"/>
      <c r="AJ1075" s="133"/>
      <c r="AK1075" s="133"/>
      <c r="AL1075" s="147"/>
      <c r="AM1075" s="147"/>
      <c r="AN1075" s="113"/>
      <c r="AO1075" s="147"/>
      <c r="AP1075" s="148"/>
      <c r="AQ1075" s="137"/>
      <c r="AR1075" s="136"/>
      <c r="AS1075" s="138"/>
      <c r="AT1075" s="136"/>
      <c r="AU1075" s="138"/>
      <c r="AV1075" s="139"/>
      <c r="AW1075" s="138"/>
      <c r="AX1075" s="140"/>
      <c r="AY1075" s="140"/>
      <c r="AZ1075" s="140"/>
      <c r="BA1075" s="140"/>
      <c r="BB1075" s="140"/>
      <c r="BC1075" s="141"/>
      <c r="BD1075" s="142"/>
      <c r="BE1075" s="138"/>
      <c r="BF1075" s="136"/>
      <c r="BG1075" s="143"/>
      <c r="BH1075" s="115"/>
      <c r="BI1075" s="144"/>
      <c r="BJ1075" s="116"/>
    </row>
    <row r="1076" spans="1:66" s="69" customFormat="1" ht="45.75" customHeight="1">
      <c r="A1076" s="64"/>
      <c r="B1076" s="1750"/>
      <c r="C1076" s="1766" t="s">
        <v>2006</v>
      </c>
      <c r="D1076" s="1766" t="s">
        <v>66</v>
      </c>
      <c r="E1076" s="1766" t="s">
        <v>65</v>
      </c>
      <c r="F1076" s="1766">
        <v>13</v>
      </c>
      <c r="G1076" s="1761">
        <v>15</v>
      </c>
      <c r="H1076" s="1753">
        <v>28</v>
      </c>
      <c r="I1076" s="1767" t="s">
        <v>2456</v>
      </c>
      <c r="J1076" s="1699" t="s">
        <v>2457</v>
      </c>
      <c r="K1076" s="1768">
        <v>500</v>
      </c>
      <c r="L1076" s="1769">
        <v>423782925</v>
      </c>
      <c r="M1076" s="1770">
        <v>99.27</v>
      </c>
      <c r="N1076" s="1771">
        <v>77612400</v>
      </c>
      <c r="O1076" s="1760">
        <v>100</v>
      </c>
      <c r="P1076" s="1387">
        <v>58436000</v>
      </c>
      <c r="Q1076" s="1732" t="e">
        <f>'[1]Maret 2018'!$I$77</f>
        <v>#REF!</v>
      </c>
      <c r="R1076" s="1387">
        <v>12144800</v>
      </c>
      <c r="S1076" s="1385"/>
      <c r="T1076" s="1385"/>
      <c r="U1076" s="1385"/>
      <c r="V1076" s="1385"/>
      <c r="W1076" s="1385"/>
      <c r="X1076" s="1385"/>
      <c r="Y1076" s="1732" t="e">
        <f>Q1076</f>
        <v>#REF!</v>
      </c>
      <c r="Z1076" s="1387">
        <v>12144800</v>
      </c>
      <c r="AA1076" s="1732" t="e">
        <f t="shared" si="289"/>
        <v>#REF!</v>
      </c>
      <c r="AB1076" s="1387">
        <f t="shared" si="289"/>
        <v>89757200</v>
      </c>
      <c r="AC1076" s="1672" t="e">
        <f t="shared" ref="AC1076:AC1077" si="290">AA1076/K1076*100</f>
        <v>#REF!</v>
      </c>
      <c r="AD1076" s="1672">
        <f>AB1076/L1076*100</f>
        <v>21.1799944511686</v>
      </c>
      <c r="AE1076" s="1402" t="s">
        <v>2418</v>
      </c>
      <c r="AF1076" s="72"/>
      <c r="AG1076" s="72"/>
      <c r="AH1076" s="72"/>
      <c r="AI1076" s="72"/>
      <c r="AJ1076" s="72"/>
      <c r="AK1076" s="72"/>
      <c r="AL1076" s="72"/>
      <c r="AM1076" s="72"/>
      <c r="AN1076" s="73" t="s">
        <v>211</v>
      </c>
      <c r="AO1076" s="72"/>
      <c r="AP1076" s="72"/>
      <c r="AQ1076" s="72"/>
      <c r="AR1076" s="72"/>
      <c r="AS1076" s="72"/>
      <c r="AT1076" s="72"/>
      <c r="AU1076" s="72"/>
      <c r="AV1076" s="72"/>
      <c r="AW1076" s="72"/>
      <c r="AX1076" s="72"/>
      <c r="AY1076" s="72"/>
      <c r="AZ1076" s="72"/>
      <c r="BA1076" s="72"/>
      <c r="BB1076" s="72"/>
      <c r="BC1076" s="72"/>
      <c r="BD1076" s="561"/>
      <c r="BE1076" s="72"/>
      <c r="BF1076" s="72"/>
      <c r="BG1076" s="72"/>
      <c r="BH1076" s="72"/>
      <c r="BI1076" s="72"/>
      <c r="BJ1076" s="72"/>
    </row>
    <row r="1077" spans="1:66" s="69" customFormat="1" ht="24.75" customHeight="1">
      <c r="A1077" s="64"/>
      <c r="B1077" s="1750"/>
      <c r="C1077" s="1766" t="s">
        <v>2006</v>
      </c>
      <c r="D1077" s="1766" t="s">
        <v>66</v>
      </c>
      <c r="E1077" s="1766" t="s">
        <v>65</v>
      </c>
      <c r="F1077" s="1766">
        <v>13</v>
      </c>
      <c r="G1077" s="1772">
        <v>15</v>
      </c>
      <c r="H1077" s="1773">
        <v>30</v>
      </c>
      <c r="I1077" s="1774" t="s">
        <v>2458</v>
      </c>
      <c r="J1077" s="1755" t="s">
        <v>2459</v>
      </c>
      <c r="K1077" s="1756">
        <v>5</v>
      </c>
      <c r="L1077" s="1757">
        <v>1888500000</v>
      </c>
      <c r="M1077" s="1775">
        <v>1</v>
      </c>
      <c r="N1077" s="1776">
        <v>377121000</v>
      </c>
      <c r="O1077" s="1777">
        <v>1</v>
      </c>
      <c r="P1077" s="1387">
        <v>342962600</v>
      </c>
      <c r="Q1077" s="1385"/>
      <c r="R1077" s="1387"/>
      <c r="S1077" s="1385"/>
      <c r="T1077" s="1385"/>
      <c r="U1077" s="1385"/>
      <c r="V1077" s="1385"/>
      <c r="W1077" s="1385"/>
      <c r="X1077" s="1385"/>
      <c r="Y1077" s="1385"/>
      <c r="Z1077" s="1387"/>
      <c r="AA1077" s="1385"/>
      <c r="AB1077" s="1387"/>
      <c r="AC1077" s="1672">
        <f t="shared" si="290"/>
        <v>0</v>
      </c>
      <c r="AD1077" s="1672">
        <f>AB1077/L1077*100</f>
        <v>0</v>
      </c>
      <c r="AE1077" s="1402" t="s">
        <v>2418</v>
      </c>
      <c r="AF1077" s="67">
        <v>25</v>
      </c>
      <c r="AG1077" s="67"/>
      <c r="AH1077" s="67"/>
      <c r="AI1077" s="67"/>
      <c r="AJ1077" s="67"/>
      <c r="AK1077" s="67"/>
      <c r="AL1077" s="67"/>
      <c r="AM1077" s="67"/>
      <c r="AN1077" s="68" t="s">
        <v>212</v>
      </c>
      <c r="AO1077" s="67"/>
      <c r="AP1077" s="67"/>
      <c r="AQ1077" s="67"/>
      <c r="AR1077" s="67"/>
      <c r="AS1077" s="67"/>
      <c r="AT1077" s="67"/>
      <c r="AU1077" s="67"/>
      <c r="AV1077" s="67"/>
      <c r="AW1077" s="67"/>
      <c r="AX1077" s="67"/>
      <c r="AY1077" s="67"/>
      <c r="AZ1077" s="67"/>
      <c r="BA1077" s="67"/>
      <c r="BB1077" s="67"/>
      <c r="BC1077" s="67"/>
      <c r="BD1077" s="366"/>
      <c r="BE1077" s="67"/>
      <c r="BF1077" s="67"/>
      <c r="BG1077" s="67"/>
      <c r="BH1077" s="67"/>
      <c r="BI1077" s="67"/>
      <c r="BJ1077" s="67"/>
    </row>
    <row r="1078" spans="1:66" ht="22.5" customHeight="1">
      <c r="A1078" s="64"/>
      <c r="B1078" s="1778"/>
      <c r="C1078" s="1779"/>
      <c r="D1078" s="1779"/>
      <c r="E1078" s="1779"/>
      <c r="F1078" s="1780"/>
      <c r="G1078" s="1781"/>
      <c r="H1078" s="1385"/>
      <c r="I1078" s="1762"/>
      <c r="J1078" s="1762"/>
      <c r="K1078" s="1760"/>
      <c r="L1078" s="1387"/>
      <c r="M1078" s="1385"/>
      <c r="N1078" s="1387"/>
      <c r="O1078" s="1385"/>
      <c r="P1078" s="1387"/>
      <c r="Q1078" s="1385"/>
      <c r="R1078" s="1387"/>
      <c r="S1078" s="1385"/>
      <c r="T1078" s="1385"/>
      <c r="U1078" s="1385"/>
      <c r="V1078" s="1385"/>
      <c r="W1078" s="1385"/>
      <c r="X1078" s="1385"/>
      <c r="Y1078" s="1385"/>
      <c r="Z1078" s="1387"/>
      <c r="AA1078" s="1385"/>
      <c r="AB1078" s="1387"/>
      <c r="AC1078" s="1672"/>
      <c r="AD1078" s="1672"/>
      <c r="AE1078" s="1402"/>
      <c r="AF1078" s="56"/>
      <c r="AG1078" s="56"/>
      <c r="AH1078" s="56"/>
      <c r="AI1078" s="56"/>
      <c r="AJ1078" s="56"/>
      <c r="AK1078" s="56"/>
      <c r="AL1078" s="56"/>
      <c r="AM1078" s="56"/>
      <c r="AN1078" s="56"/>
      <c r="AO1078" s="56"/>
      <c r="AP1078" s="56"/>
      <c r="AQ1078" s="56"/>
      <c r="AR1078" s="56"/>
      <c r="AS1078" s="56"/>
      <c r="AT1078" s="56"/>
      <c r="AU1078" s="56"/>
      <c r="AV1078" s="56"/>
      <c r="AW1078" s="56"/>
      <c r="AX1078" s="56"/>
      <c r="AY1078" s="56"/>
      <c r="AZ1078" s="56"/>
      <c r="BA1078" s="56"/>
      <c r="BB1078" s="56"/>
      <c r="BC1078" s="56"/>
      <c r="BD1078" s="382"/>
      <c r="BE1078" s="56"/>
      <c r="BF1078" s="56"/>
      <c r="BG1078" s="56"/>
      <c r="BH1078" s="56"/>
      <c r="BI1078" s="56"/>
      <c r="BJ1078" s="56"/>
    </row>
    <row r="1079" spans="1:66" s="69" customFormat="1" ht="27.75" customHeight="1">
      <c r="A1079" s="1742"/>
      <c r="B1079" s="1749"/>
      <c r="C1079" s="1782" t="s">
        <v>2006</v>
      </c>
      <c r="D1079" s="1782" t="s">
        <v>66</v>
      </c>
      <c r="E1079" s="1782" t="s">
        <v>65</v>
      </c>
      <c r="F1079" s="1782">
        <v>13</v>
      </c>
      <c r="G1079" s="1783">
        <v>17</v>
      </c>
      <c r="H1079" s="1749"/>
      <c r="I1079" s="1784" t="s">
        <v>2460</v>
      </c>
      <c r="J1079" s="1784" t="s">
        <v>2461</v>
      </c>
      <c r="K1079" s="1747"/>
      <c r="L1079" s="1748"/>
      <c r="M1079" s="1749"/>
      <c r="N1079" s="1748"/>
      <c r="O1079" s="1749"/>
      <c r="P1079" s="1748">
        <f>SUM(P1080:P1081)</f>
        <v>161521000</v>
      </c>
      <c r="Q1079" s="1749"/>
      <c r="R1079" s="1748"/>
      <c r="S1079" s="1749"/>
      <c r="T1079" s="1749"/>
      <c r="U1079" s="1749"/>
      <c r="V1079" s="1749"/>
      <c r="W1079" s="1749"/>
      <c r="X1079" s="1749"/>
      <c r="Y1079" s="1749"/>
      <c r="Z1079" s="1748"/>
      <c r="AA1079" s="1749"/>
      <c r="AB1079" s="1748">
        <f>SUM(AB1080:AB1081)</f>
        <v>169561000</v>
      </c>
      <c r="AC1079" s="1671"/>
      <c r="AD1079" s="1671"/>
      <c r="AE1079" s="24" t="s">
        <v>2418</v>
      </c>
      <c r="AF1079" s="67">
        <v>26</v>
      </c>
      <c r="AG1079" s="67"/>
      <c r="AH1079" s="67"/>
      <c r="AI1079" s="67"/>
      <c r="AJ1079" s="67"/>
      <c r="AK1079" s="67"/>
      <c r="AL1079" s="67"/>
      <c r="AM1079" s="67"/>
      <c r="AN1079" s="68" t="s">
        <v>213</v>
      </c>
      <c r="AO1079" s="67"/>
      <c r="AP1079" s="67"/>
      <c r="AQ1079" s="67"/>
      <c r="AR1079" s="67"/>
      <c r="AS1079" s="67"/>
      <c r="AT1079" s="67"/>
      <c r="AU1079" s="67"/>
      <c r="AV1079" s="67"/>
      <c r="AW1079" s="67"/>
      <c r="AX1079" s="67"/>
      <c r="AY1079" s="67"/>
      <c r="AZ1079" s="67"/>
      <c r="BA1079" s="67"/>
      <c r="BB1079" s="67"/>
      <c r="BC1079" s="67"/>
      <c r="BD1079" s="366"/>
      <c r="BE1079" s="67"/>
      <c r="BF1079" s="67"/>
      <c r="BG1079" s="67"/>
      <c r="BH1079" s="67"/>
      <c r="BI1079" s="67"/>
      <c r="BJ1079" s="67"/>
    </row>
    <row r="1080" spans="1:66" ht="38.25">
      <c r="A1080" s="64"/>
      <c r="B1080" s="754"/>
      <c r="C1080" s="1781">
        <v>2</v>
      </c>
      <c r="D1080" s="1781">
        <v>1</v>
      </c>
      <c r="E1080" s="1781">
        <v>2</v>
      </c>
      <c r="F1080" s="1781">
        <v>13</v>
      </c>
      <c r="G1080" s="1785">
        <v>17</v>
      </c>
      <c r="H1080" s="754">
        <v>1</v>
      </c>
      <c r="I1080" s="1786" t="s">
        <v>2462</v>
      </c>
      <c r="J1080" s="1734" t="s">
        <v>2463</v>
      </c>
      <c r="K1080" s="1787">
        <v>500</v>
      </c>
      <c r="L1080" s="1739">
        <v>594592000</v>
      </c>
      <c r="M1080" s="1735">
        <v>98.11</v>
      </c>
      <c r="N1080" s="1736">
        <v>90550000</v>
      </c>
      <c r="O1080" s="1730">
        <v>100</v>
      </c>
      <c r="P1080" s="1731">
        <v>78591000</v>
      </c>
      <c r="Q1080" s="1733">
        <f>'[1]Maret 2018'!$I$123</f>
        <v>12.372075457680426</v>
      </c>
      <c r="R1080" s="1731">
        <v>17121000</v>
      </c>
      <c r="S1080" s="754"/>
      <c r="T1080" s="754"/>
      <c r="U1080" s="754"/>
      <c r="V1080" s="754"/>
      <c r="W1080" s="754"/>
      <c r="X1080" s="754"/>
      <c r="Y1080" s="1733">
        <f>Q1080</f>
        <v>12.372075457680426</v>
      </c>
      <c r="Z1080" s="1731">
        <v>17121000</v>
      </c>
      <c r="AA1080" s="1733">
        <f>M1080+Y1080</f>
        <v>110.48207545768042</v>
      </c>
      <c r="AB1080" s="1731">
        <f>N1080+Z1080</f>
        <v>107671000</v>
      </c>
      <c r="AC1080" s="19">
        <f>AA1080/K1080*100</f>
        <v>22.096415091536084</v>
      </c>
      <c r="AD1080" s="19">
        <f>AB1080/L1080*100</f>
        <v>18.108383563855551</v>
      </c>
      <c r="AE1080" s="24" t="s">
        <v>2418</v>
      </c>
      <c r="AF1080" s="112"/>
      <c r="AG1080" s="112"/>
      <c r="AH1080" s="112"/>
      <c r="AI1080" s="112"/>
      <c r="AJ1080" s="112"/>
      <c r="AK1080" s="112"/>
      <c r="AL1080" s="112"/>
      <c r="AM1080" s="112"/>
      <c r="AN1080" s="112"/>
      <c r="AO1080" s="112"/>
      <c r="AP1080" s="112"/>
      <c r="AQ1080" s="112"/>
      <c r="AR1080" s="112"/>
      <c r="AS1080" s="112"/>
      <c r="AT1080" s="112"/>
      <c r="AU1080" s="112"/>
      <c r="AV1080" s="112"/>
      <c r="AW1080" s="112"/>
      <c r="AX1080" s="112"/>
      <c r="AY1080" s="112"/>
      <c r="AZ1080" s="112"/>
      <c r="BA1080" s="112"/>
      <c r="BB1080" s="112"/>
      <c r="BC1080" s="112"/>
      <c r="BD1080" s="570"/>
      <c r="BE1080" s="112"/>
      <c r="BF1080" s="112"/>
      <c r="BG1080" s="112"/>
      <c r="BH1080" s="112"/>
      <c r="BI1080" s="112"/>
      <c r="BJ1080" s="112"/>
    </row>
    <row r="1081" spans="1:66" s="69" customFormat="1" ht="27.75" customHeight="1">
      <c r="A1081" s="64"/>
      <c r="B1081" s="754"/>
      <c r="C1081" s="1785">
        <v>2</v>
      </c>
      <c r="D1081" s="1785">
        <v>1</v>
      </c>
      <c r="E1081" s="1785">
        <v>2</v>
      </c>
      <c r="F1081" s="1785">
        <v>13</v>
      </c>
      <c r="G1081" s="1785"/>
      <c r="H1081" s="754"/>
      <c r="I1081" s="1788" t="s">
        <v>2464</v>
      </c>
      <c r="J1081" s="1789" t="s">
        <v>2465</v>
      </c>
      <c r="K1081" s="1730">
        <v>40</v>
      </c>
      <c r="L1081" s="1790">
        <v>200000000</v>
      </c>
      <c r="M1081" s="1791">
        <v>1</v>
      </c>
      <c r="N1081" s="1721">
        <v>59027500</v>
      </c>
      <c r="O1081" s="1730">
        <v>3</v>
      </c>
      <c r="P1081" s="1731">
        <v>82930000</v>
      </c>
      <c r="Q1081" s="1733">
        <f>'[1]Maret 2018'!$I$126</f>
        <v>21.784937206550367</v>
      </c>
      <c r="R1081" s="1731">
        <v>2862500</v>
      </c>
      <c r="S1081" s="754"/>
      <c r="T1081" s="754"/>
      <c r="U1081" s="754"/>
      <c r="V1081" s="754"/>
      <c r="W1081" s="754"/>
      <c r="X1081" s="754"/>
      <c r="Y1081" s="1733">
        <f>Q1081</f>
        <v>21.784937206550367</v>
      </c>
      <c r="Z1081" s="1731">
        <v>2862500</v>
      </c>
      <c r="AA1081" s="1733">
        <f>M1081+Y1081</f>
        <v>22.784937206550367</v>
      </c>
      <c r="AB1081" s="1731">
        <f>N1081+Z1081</f>
        <v>61890000</v>
      </c>
      <c r="AC1081" s="19">
        <f>AA1081/K1081*100</f>
        <v>56.962343016375918</v>
      </c>
      <c r="AD1081" s="19">
        <f>AB1081/L1081*100</f>
        <v>30.945</v>
      </c>
      <c r="AE1081" s="24" t="s">
        <v>2418</v>
      </c>
      <c r="AF1081" s="67">
        <v>27</v>
      </c>
      <c r="AG1081" s="67"/>
      <c r="AH1081" s="67"/>
      <c r="AI1081" s="67"/>
      <c r="AJ1081" s="67"/>
      <c r="AK1081" s="67"/>
      <c r="AL1081" s="67"/>
      <c r="AM1081" s="67"/>
      <c r="AN1081" s="68" t="s">
        <v>214</v>
      </c>
      <c r="AO1081" s="67"/>
      <c r="AP1081" s="67"/>
      <c r="AQ1081" s="67"/>
      <c r="AR1081" s="67"/>
      <c r="AS1081" s="67"/>
      <c r="AT1081" s="67"/>
      <c r="AU1081" s="67"/>
      <c r="AV1081" s="67"/>
      <c r="AW1081" s="67"/>
      <c r="AX1081" s="67"/>
      <c r="AY1081" s="67"/>
      <c r="AZ1081" s="67"/>
      <c r="BA1081" s="67"/>
      <c r="BB1081" s="67"/>
      <c r="BC1081" s="67"/>
      <c r="BD1081" s="366"/>
      <c r="BE1081" s="67"/>
      <c r="BF1081" s="67"/>
      <c r="BG1081" s="67"/>
      <c r="BH1081" s="67"/>
      <c r="BI1081" s="67"/>
      <c r="BJ1081" s="67"/>
    </row>
    <row r="1082" spans="1:66" s="656" customFormat="1" ht="27.75" customHeight="1">
      <c r="A1082" s="64"/>
      <c r="B1082" s="754"/>
      <c r="C1082" s="1785"/>
      <c r="D1082" s="1785"/>
      <c r="E1082" s="1785"/>
      <c r="F1082" s="1785"/>
      <c r="G1082" s="1785"/>
      <c r="H1082" s="754"/>
      <c r="I1082" s="1788"/>
      <c r="J1082" s="754"/>
      <c r="K1082" s="1730"/>
      <c r="L1082" s="1731"/>
      <c r="M1082" s="754"/>
      <c r="N1082" s="1731"/>
      <c r="O1082" s="754"/>
      <c r="P1082" s="1731"/>
      <c r="Q1082" s="754"/>
      <c r="R1082" s="1731"/>
      <c r="S1082" s="754"/>
      <c r="T1082" s="754"/>
      <c r="U1082" s="754"/>
      <c r="V1082" s="754"/>
      <c r="W1082" s="754"/>
      <c r="X1082" s="754"/>
      <c r="Y1082" s="754"/>
      <c r="Z1082" s="1731"/>
      <c r="AA1082" s="754"/>
      <c r="AB1082" s="1731"/>
      <c r="AC1082" s="19"/>
      <c r="AD1082" s="19"/>
      <c r="AE1082" s="24"/>
      <c r="AF1082" s="2512" t="s">
        <v>910</v>
      </c>
      <c r="AG1082" s="2513"/>
      <c r="AH1082" s="2513"/>
      <c r="AI1082" s="2513"/>
      <c r="AJ1082" s="2513"/>
      <c r="AK1082" s="2513"/>
      <c r="AL1082" s="2513"/>
      <c r="AM1082" s="2513"/>
      <c r="AN1082" s="2513"/>
      <c r="AO1082" s="2513"/>
      <c r="AP1082" s="2513"/>
      <c r="AQ1082" s="2513"/>
      <c r="AR1082" s="2513"/>
      <c r="AS1082" s="2513"/>
      <c r="AT1082" s="2513"/>
      <c r="AU1082" s="2513"/>
      <c r="AV1082" s="2513"/>
      <c r="AW1082" s="2513"/>
      <c r="AX1082" s="2513"/>
      <c r="AY1082" s="2513"/>
      <c r="AZ1082" s="2513"/>
      <c r="BA1082" s="2513"/>
      <c r="BB1082" s="2513"/>
      <c r="BC1082" s="2513"/>
      <c r="BD1082" s="2513"/>
      <c r="BE1082" s="2513"/>
      <c r="BF1082" s="2513"/>
      <c r="BG1082" s="2513"/>
      <c r="BH1082" s="2513"/>
      <c r="BI1082" s="2513"/>
      <c r="BJ1082" s="2514"/>
    </row>
    <row r="1083" spans="1:66" s="994" customFormat="1" ht="48.75" customHeight="1">
      <c r="A1083" s="1742"/>
      <c r="B1083" s="1743"/>
      <c r="C1083" s="1783">
        <v>2</v>
      </c>
      <c r="D1083" s="1783">
        <v>1</v>
      </c>
      <c r="E1083" s="1783">
        <v>2</v>
      </c>
      <c r="F1083" s="1783">
        <v>13</v>
      </c>
      <c r="G1083" s="1783">
        <v>18</v>
      </c>
      <c r="H1083" s="1749"/>
      <c r="I1083" s="1792" t="s">
        <v>2466</v>
      </c>
      <c r="J1083" s="1749"/>
      <c r="K1083" s="1747"/>
      <c r="L1083" s="1748"/>
      <c r="M1083" s="1749"/>
      <c r="N1083" s="1748"/>
      <c r="O1083" s="1749"/>
      <c r="P1083" s="1748">
        <f>SUM(P1084:P1088)</f>
        <v>1089161000</v>
      </c>
      <c r="Q1083" s="1749"/>
      <c r="R1083" s="1748"/>
      <c r="S1083" s="1749"/>
      <c r="T1083" s="1749"/>
      <c r="U1083" s="1749"/>
      <c r="V1083" s="1749"/>
      <c r="W1083" s="1749"/>
      <c r="X1083" s="1749"/>
      <c r="Y1083" s="1749"/>
      <c r="Z1083" s="1748"/>
      <c r="AA1083" s="1749"/>
      <c r="AB1083" s="1748">
        <f>SUM(AB1084:AB1088)</f>
        <v>415943164</v>
      </c>
      <c r="AC1083" s="1671"/>
      <c r="AD1083" s="1671"/>
      <c r="AE1083" s="24" t="s">
        <v>2418</v>
      </c>
      <c r="AF1083" s="1007"/>
      <c r="AG1083" s="1008" t="s">
        <v>1308</v>
      </c>
      <c r="AH1083" s="1009"/>
      <c r="AI1083" s="1009"/>
      <c r="AJ1083" s="1009"/>
      <c r="AK1083" s="1009"/>
      <c r="AL1083" s="1009"/>
      <c r="AM1083" s="1008"/>
      <c r="AN1083" s="1008" t="s">
        <v>1309</v>
      </c>
      <c r="AO1083" s="1010" t="s">
        <v>1310</v>
      </c>
      <c r="AP1083" s="1011">
        <v>27</v>
      </c>
      <c r="AQ1083" s="2515">
        <f>SUM(AQ1085:AQ1088)</f>
        <v>5601639</v>
      </c>
      <c r="AR1083" s="1011">
        <v>22</v>
      </c>
      <c r="AS1083" s="2515">
        <f>SUM(AS1085:AS1088)</f>
        <v>897759.2</v>
      </c>
      <c r="AT1083" s="1010">
        <v>24</v>
      </c>
      <c r="AU1083" s="2515">
        <f>SUM(AU1085:AU1088)</f>
        <v>1239232.3999999999</v>
      </c>
      <c r="AV1083" s="1010">
        <v>24</v>
      </c>
      <c r="AW1083" s="2517">
        <f>SUM(AW1085:AW1088)</f>
        <v>17168</v>
      </c>
      <c r="AX1083" s="1012">
        <v>0</v>
      </c>
      <c r="AY1083" s="2519"/>
      <c r="AZ1083" s="1012">
        <v>0</v>
      </c>
      <c r="BA1083" s="2519"/>
      <c r="BB1083" s="1012">
        <v>0</v>
      </c>
      <c r="BC1083" s="2519"/>
      <c r="BD1083" s="1013">
        <f>AV1083+AX1083+AZ1083+BB1083</f>
        <v>24</v>
      </c>
      <c r="BE1083" s="2537">
        <f>AW1083+AY1083+BA1083+BC1083</f>
        <v>17168</v>
      </c>
      <c r="BF1083" s="1013">
        <f>AR1083+BD1083</f>
        <v>46</v>
      </c>
      <c r="BG1083" s="2539">
        <f>AS1083+BE1083</f>
        <v>914927.2</v>
      </c>
      <c r="BH1083" s="1014">
        <f>BF1083/AP1083*100%</f>
        <v>1.7037037037037037</v>
      </c>
      <c r="BI1083" s="2541">
        <f>BG1083/AQ1083*100%</f>
        <v>0.16333205335081391</v>
      </c>
      <c r="BJ1083" s="2543" t="s">
        <v>1311</v>
      </c>
      <c r="BL1083" s="995">
        <f>(SUM(BL1084:BL1085)/2)*100%</f>
        <v>63.008130081300813</v>
      </c>
    </row>
    <row r="1084" spans="1:66" s="994" customFormat="1" ht="69.75" customHeight="1">
      <c r="A1084" s="64">
        <v>2</v>
      </c>
      <c r="B1084" s="65" t="s">
        <v>2467</v>
      </c>
      <c r="C1084" s="1785">
        <v>2</v>
      </c>
      <c r="D1084" s="1781">
        <v>1</v>
      </c>
      <c r="E1084" s="1781">
        <v>2</v>
      </c>
      <c r="F1084" s="1781">
        <v>13</v>
      </c>
      <c r="G1084" s="1781">
        <v>18</v>
      </c>
      <c r="H1084" s="754">
        <v>5</v>
      </c>
      <c r="I1084" s="1793" t="s">
        <v>2468</v>
      </c>
      <c r="J1084" s="1064" t="s">
        <v>2469</v>
      </c>
      <c r="K1084" s="1794">
        <v>500</v>
      </c>
      <c r="L1084" s="1795">
        <v>939685480</v>
      </c>
      <c r="M1084" s="1733">
        <f>'[4]November 2017'!$J$150</f>
        <v>99.990361445783137</v>
      </c>
      <c r="N1084" s="1400">
        <f>'[4]November 2017'!$I$150</f>
        <v>165984000</v>
      </c>
      <c r="O1084" s="1796">
        <v>100</v>
      </c>
      <c r="P1084" s="1731">
        <v>224800000</v>
      </c>
      <c r="Q1084" s="1733" t="str">
        <f>'[1]Maret 2018'!$I$105</f>
        <v>-</v>
      </c>
      <c r="R1084" s="1731">
        <v>9646000</v>
      </c>
      <c r="S1084" s="754"/>
      <c r="T1084" s="754"/>
      <c r="U1084" s="754"/>
      <c r="V1084" s="754"/>
      <c r="W1084" s="754"/>
      <c r="X1084" s="754"/>
      <c r="Y1084" s="1733">
        <v>0</v>
      </c>
      <c r="Z1084" s="1731">
        <v>9646000</v>
      </c>
      <c r="AA1084" s="1733">
        <f t="shared" ref="AA1084:AB1088" si="291">M1084+Y1084</f>
        <v>99.990361445783137</v>
      </c>
      <c r="AB1084" s="1731">
        <f t="shared" si="291"/>
        <v>175630000</v>
      </c>
      <c r="AC1084" s="19">
        <f>AA1084/K1084*100</f>
        <v>19.998072289156628</v>
      </c>
      <c r="AD1084" s="19">
        <f>AB1084/L1084*100</f>
        <v>18.690296246782488</v>
      </c>
      <c r="AE1084" s="24" t="s">
        <v>2418</v>
      </c>
      <c r="AF1084" s="512"/>
      <c r="AG1084" s="1015"/>
      <c r="AH1084" s="1015"/>
      <c r="AI1084" s="1015"/>
      <c r="AJ1084" s="1015"/>
      <c r="AK1084" s="1015"/>
      <c r="AL1084" s="1015"/>
      <c r="AM1084" s="1016"/>
      <c r="AN1084" s="1016"/>
      <c r="AO1084" s="1017" t="s">
        <v>1312</v>
      </c>
      <c r="AP1084" s="1018">
        <v>123</v>
      </c>
      <c r="AQ1084" s="2516"/>
      <c r="AR1084" s="1018">
        <v>120</v>
      </c>
      <c r="AS1084" s="2516"/>
      <c r="AT1084" s="1017">
        <v>123</v>
      </c>
      <c r="AU1084" s="2516"/>
      <c r="AV1084" s="1017">
        <v>32</v>
      </c>
      <c r="AW1084" s="2518"/>
      <c r="AX1084" s="1019">
        <v>0</v>
      </c>
      <c r="AY1084" s="2520"/>
      <c r="AZ1084" s="1019">
        <v>0</v>
      </c>
      <c r="BA1084" s="2520"/>
      <c r="BB1084" s="1019">
        <v>0</v>
      </c>
      <c r="BC1084" s="2520"/>
      <c r="BD1084" s="1020">
        <f>AV1084+AX1084+AZ1084+BB1084</f>
        <v>32</v>
      </c>
      <c r="BE1084" s="2538"/>
      <c r="BF1084" s="1020">
        <f>AR1084+BD1084</f>
        <v>152</v>
      </c>
      <c r="BG1084" s="2540"/>
      <c r="BH1084" s="1021">
        <f>BF1084/AP1084*100%</f>
        <v>1.2357723577235773</v>
      </c>
      <c r="BI1084" s="2542"/>
      <c r="BJ1084" s="2544"/>
      <c r="BL1084" s="994">
        <f>AV1083/AT1083*100</f>
        <v>100</v>
      </c>
    </row>
    <row r="1085" spans="1:66" s="996" customFormat="1" ht="57" customHeight="1">
      <c r="A1085" s="64"/>
      <c r="B1085" s="1750"/>
      <c r="C1085" s="1785">
        <v>2</v>
      </c>
      <c r="D1085" s="1785">
        <v>1</v>
      </c>
      <c r="E1085" s="1785">
        <v>2</v>
      </c>
      <c r="F1085" s="1785">
        <v>13</v>
      </c>
      <c r="G1085" s="1785">
        <v>18</v>
      </c>
      <c r="H1085" s="754">
        <v>14</v>
      </c>
      <c r="I1085" s="1788" t="s">
        <v>2470</v>
      </c>
      <c r="J1085" s="754" t="s">
        <v>2471</v>
      </c>
      <c r="K1085" s="1730">
        <v>100</v>
      </c>
      <c r="L1085" s="1790">
        <v>100000000</v>
      </c>
      <c r="M1085" s="754">
        <v>0</v>
      </c>
      <c r="N1085" s="1731">
        <v>0</v>
      </c>
      <c r="O1085" s="1730">
        <v>100</v>
      </c>
      <c r="P1085" s="1731">
        <v>99820000</v>
      </c>
      <c r="Q1085" s="1733" t="e">
        <f>'[1]Maret 2018'!$I$113</f>
        <v>#REF!</v>
      </c>
      <c r="R1085" s="1731">
        <v>5452000</v>
      </c>
      <c r="S1085" s="754"/>
      <c r="T1085" s="754"/>
      <c r="U1085" s="754"/>
      <c r="V1085" s="754"/>
      <c r="W1085" s="754"/>
      <c r="X1085" s="754"/>
      <c r="Y1085" s="1733" t="e">
        <f>Q1085</f>
        <v>#REF!</v>
      </c>
      <c r="Z1085" s="1731">
        <v>5452000</v>
      </c>
      <c r="AA1085" s="1733" t="e">
        <f t="shared" si="291"/>
        <v>#REF!</v>
      </c>
      <c r="AB1085" s="1731">
        <f t="shared" si="291"/>
        <v>5452000</v>
      </c>
      <c r="AC1085" s="1669" t="e">
        <f>AA1085/K1085*100</f>
        <v>#REF!</v>
      </c>
      <c r="AD1085" s="19">
        <f>AB1085/L1085*100</f>
        <v>5.452</v>
      </c>
      <c r="AE1085" s="24" t="s">
        <v>2418</v>
      </c>
      <c r="AF1085" s="499"/>
      <c r="AG1085" s="1015"/>
      <c r="AH1085" s="1015"/>
      <c r="AI1085" s="1015"/>
      <c r="AJ1085" s="1015"/>
      <c r="AK1085" s="1015"/>
      <c r="AL1085" s="1015"/>
      <c r="AM1085" s="1016"/>
      <c r="AN1085" s="1022" t="s">
        <v>1313</v>
      </c>
      <c r="AO1085" s="1023" t="s">
        <v>1314</v>
      </c>
      <c r="AP1085" s="1024">
        <v>148</v>
      </c>
      <c r="AQ1085" s="1024">
        <v>1137662</v>
      </c>
      <c r="AR1085" s="1025">
        <v>33</v>
      </c>
      <c r="AS1085" s="1026">
        <v>778195</v>
      </c>
      <c r="AT1085" s="1025">
        <v>31</v>
      </c>
      <c r="AU1085" s="1026">
        <v>752283.7</v>
      </c>
      <c r="AV1085" s="1027">
        <v>0</v>
      </c>
      <c r="AW1085" s="1026">
        <v>10843</v>
      </c>
      <c r="AX1085" s="1027">
        <f>AV1085</f>
        <v>0</v>
      </c>
      <c r="AY1085" s="1027">
        <v>0</v>
      </c>
      <c r="AZ1085" s="1027">
        <f>AV1085+AX1085</f>
        <v>0</v>
      </c>
      <c r="BA1085" s="1027">
        <v>0</v>
      </c>
      <c r="BB1085" s="1027">
        <f>AV1085+AX1085+AZ1085</f>
        <v>0</v>
      </c>
      <c r="BC1085" s="1027">
        <v>0</v>
      </c>
      <c r="BD1085" s="1027">
        <f>AV1085+AX1085+AZ1085+BB1085</f>
        <v>0</v>
      </c>
      <c r="BE1085" s="1027">
        <f>AW1085+AY1085+BA1085+BC1085</f>
        <v>10843</v>
      </c>
      <c r="BF1085" s="1027">
        <f>AR1085+BD1085</f>
        <v>33</v>
      </c>
      <c r="BG1085" s="1027">
        <f>AS1085+BE1085</f>
        <v>789038</v>
      </c>
      <c r="BH1085" s="1027">
        <f>BF1085/AP1085*100</f>
        <v>22.297297297297298</v>
      </c>
      <c r="BI1085" s="1027">
        <f>BG1085/AQ1085*100</f>
        <v>69.356100493819781</v>
      </c>
      <c r="BJ1085" s="2544"/>
      <c r="BL1085" s="997">
        <f>AV1084/AT1084*100</f>
        <v>26.016260162601629</v>
      </c>
    </row>
    <row r="1086" spans="1:66" s="994" customFormat="1" ht="57" customHeight="1">
      <c r="A1086" s="64"/>
      <c r="B1086" s="1750"/>
      <c r="C1086" s="1785">
        <v>2</v>
      </c>
      <c r="D1086" s="1785">
        <v>1</v>
      </c>
      <c r="E1086" s="1785">
        <v>2</v>
      </c>
      <c r="F1086" s="1785">
        <v>13</v>
      </c>
      <c r="G1086" s="1785">
        <v>18</v>
      </c>
      <c r="H1086" s="754">
        <v>23</v>
      </c>
      <c r="I1086" s="1797" t="s">
        <v>2472</v>
      </c>
      <c r="J1086" s="1798" t="s">
        <v>2473</v>
      </c>
      <c r="K1086" s="1799">
        <v>500</v>
      </c>
      <c r="L1086" s="1800">
        <v>823777000</v>
      </c>
      <c r="M1086" s="754">
        <v>99.99</v>
      </c>
      <c r="N1086" s="1801">
        <v>109989000</v>
      </c>
      <c r="O1086" s="1730">
        <v>1</v>
      </c>
      <c r="P1086" s="1731">
        <v>298038000</v>
      </c>
      <c r="Q1086" s="1733" t="e">
        <f>'[1]Maret 2018'!$I$109</f>
        <v>#REF!</v>
      </c>
      <c r="R1086" s="1731">
        <v>37816000</v>
      </c>
      <c r="S1086" s="754"/>
      <c r="T1086" s="754"/>
      <c r="U1086" s="754"/>
      <c r="V1086" s="754"/>
      <c r="W1086" s="754"/>
      <c r="X1086" s="754"/>
      <c r="Y1086" s="1733" t="e">
        <f>Q1086</f>
        <v>#REF!</v>
      </c>
      <c r="Z1086" s="1731">
        <v>37816000</v>
      </c>
      <c r="AA1086" s="1733" t="e">
        <f t="shared" si="291"/>
        <v>#REF!</v>
      </c>
      <c r="AB1086" s="1731">
        <f t="shared" si="291"/>
        <v>147805000</v>
      </c>
      <c r="AC1086" s="1669" t="e">
        <f t="shared" ref="AC1086:AD1088" si="292">AA1086/K1086*100</f>
        <v>#REF!</v>
      </c>
      <c r="AD1086" s="19">
        <f>AB1086/L1086*100</f>
        <v>17.942355758900771</v>
      </c>
      <c r="AE1086" s="24" t="s">
        <v>2418</v>
      </c>
      <c r="AF1086" s="512"/>
      <c r="AG1086" s="1028"/>
      <c r="AH1086" s="1028"/>
      <c r="AI1086" s="1028"/>
      <c r="AJ1086" s="1028"/>
      <c r="AK1086" s="1028"/>
      <c r="AL1086" s="1028"/>
      <c r="AM1086" s="1028"/>
      <c r="AN1086" s="1028" t="s">
        <v>1315</v>
      </c>
      <c r="AO1086" s="1028" t="s">
        <v>1316</v>
      </c>
      <c r="AP1086" s="1028">
        <v>50</v>
      </c>
      <c r="AQ1086" s="1029">
        <v>332806</v>
      </c>
      <c r="AR1086" s="1028">
        <v>50</v>
      </c>
      <c r="AS1086" s="1026">
        <v>49756.2</v>
      </c>
      <c r="AT1086" s="1028">
        <v>50</v>
      </c>
      <c r="AU1086" s="1026">
        <v>51725</v>
      </c>
      <c r="AV1086" s="1027">
        <v>0</v>
      </c>
      <c r="AW1086" s="1020">
        <v>6190</v>
      </c>
      <c r="AX1086" s="1027">
        <f t="shared" ref="S1086:AX1149" si="293">AV1086</f>
        <v>0</v>
      </c>
      <c r="AY1086" s="1027">
        <v>0</v>
      </c>
      <c r="AZ1086" s="1027">
        <f t="shared" ref="U1086:AZ1149" si="294">AV1086+AX1086</f>
        <v>0</v>
      </c>
      <c r="BA1086" s="1027">
        <v>0</v>
      </c>
      <c r="BB1086" s="1027">
        <f t="shared" ref="W1086:BB1149" si="295">AV1086+AX1086+AZ1086</f>
        <v>0</v>
      </c>
      <c r="BC1086" s="1027">
        <v>0</v>
      </c>
      <c r="BD1086" s="1027">
        <f t="shared" ref="BD1086:BE1106" si="296">AV1086</f>
        <v>0</v>
      </c>
      <c r="BE1086" s="1027">
        <f t="shared" si="296"/>
        <v>6190</v>
      </c>
      <c r="BF1086" s="1027">
        <f t="shared" ref="BF1086:BG1106" si="297">AR1086+BD1086</f>
        <v>50</v>
      </c>
      <c r="BG1086" s="1027">
        <f t="shared" si="297"/>
        <v>55946.2</v>
      </c>
      <c r="BH1086" s="1027">
        <f t="shared" ref="BH1086:BI1106" si="298">BF1086/AP1086*100</f>
        <v>100</v>
      </c>
      <c r="BI1086" s="1027">
        <f t="shared" si="298"/>
        <v>16.810454138447025</v>
      </c>
      <c r="BJ1086" s="2545"/>
    </row>
    <row r="1087" spans="1:66" s="994" customFormat="1" ht="65.25" customHeight="1">
      <c r="A1087" s="1802"/>
      <c r="B1087" s="1803"/>
      <c r="C1087" s="1804">
        <v>2</v>
      </c>
      <c r="D1087" s="1804">
        <v>1</v>
      </c>
      <c r="E1087" s="1804">
        <v>2</v>
      </c>
      <c r="F1087" s="1804">
        <v>13</v>
      </c>
      <c r="G1087" s="1781">
        <v>18</v>
      </c>
      <c r="H1087" s="754">
        <v>25</v>
      </c>
      <c r="I1087" s="1797" t="s">
        <v>2474</v>
      </c>
      <c r="J1087" s="1798" t="s">
        <v>2475</v>
      </c>
      <c r="K1087" s="1805">
        <v>500</v>
      </c>
      <c r="L1087" s="1806">
        <v>802185000</v>
      </c>
      <c r="M1087" s="754">
        <v>99.61</v>
      </c>
      <c r="N1087" s="1731">
        <v>74705800</v>
      </c>
      <c r="O1087" s="1730">
        <v>2</v>
      </c>
      <c r="P1087" s="1731">
        <v>167515000</v>
      </c>
      <c r="Q1087" s="1733" t="e">
        <f>'[1]Maret 2018'!$I$116</f>
        <v>#REF!</v>
      </c>
      <c r="R1087" s="1731">
        <v>11669000</v>
      </c>
      <c r="S1087" s="754"/>
      <c r="T1087" s="754"/>
      <c r="U1087" s="754"/>
      <c r="V1087" s="754"/>
      <c r="W1087" s="754"/>
      <c r="X1087" s="754"/>
      <c r="Y1087" s="1733" t="e">
        <f>Q1087</f>
        <v>#REF!</v>
      </c>
      <c r="Z1087" s="1731">
        <v>11669000</v>
      </c>
      <c r="AA1087" s="1733" t="e">
        <f t="shared" si="291"/>
        <v>#REF!</v>
      </c>
      <c r="AB1087" s="1731">
        <v>11669000</v>
      </c>
      <c r="AC1087" s="1669" t="e">
        <f t="shared" si="292"/>
        <v>#REF!</v>
      </c>
      <c r="AD1087" s="19">
        <f t="shared" si="292"/>
        <v>1.4546519817747776</v>
      </c>
      <c r="AE1087" s="24" t="s">
        <v>2418</v>
      </c>
      <c r="AF1087" s="512"/>
      <c r="AG1087" s="1028"/>
      <c r="AH1087" s="1028"/>
      <c r="AI1087" s="1028"/>
      <c r="AJ1087" s="1028"/>
      <c r="AK1087" s="1028"/>
      <c r="AL1087" s="1028"/>
      <c r="AM1087" s="1028"/>
      <c r="AN1087" s="1022" t="s">
        <v>1317</v>
      </c>
      <c r="AO1087" s="1028" t="s">
        <v>1318</v>
      </c>
      <c r="AP1087" s="1020">
        <v>125</v>
      </c>
      <c r="AQ1087" s="1026">
        <v>408538</v>
      </c>
      <c r="AR1087" s="1020">
        <v>25</v>
      </c>
      <c r="AS1087" s="1026">
        <v>9686</v>
      </c>
      <c r="AT1087" s="1028">
        <v>50</v>
      </c>
      <c r="AU1087" s="1026">
        <v>22590</v>
      </c>
      <c r="AV1087" s="1027">
        <v>0</v>
      </c>
      <c r="AW1087" s="1020">
        <v>0</v>
      </c>
      <c r="AX1087" s="1027">
        <f t="shared" si="293"/>
        <v>0</v>
      </c>
      <c r="AY1087" s="1027">
        <v>0</v>
      </c>
      <c r="AZ1087" s="1027">
        <f t="shared" si="294"/>
        <v>0</v>
      </c>
      <c r="BA1087" s="1027">
        <v>0</v>
      </c>
      <c r="BB1087" s="1027">
        <f t="shared" si="295"/>
        <v>0</v>
      </c>
      <c r="BC1087" s="1027">
        <v>0</v>
      </c>
      <c r="BD1087" s="1027">
        <f t="shared" si="296"/>
        <v>0</v>
      </c>
      <c r="BE1087" s="1027">
        <f t="shared" si="296"/>
        <v>0</v>
      </c>
      <c r="BF1087" s="1027">
        <f t="shared" si="297"/>
        <v>25</v>
      </c>
      <c r="BG1087" s="1027">
        <f t="shared" si="297"/>
        <v>9686</v>
      </c>
      <c r="BH1087" s="1027">
        <f t="shared" si="298"/>
        <v>20</v>
      </c>
      <c r="BI1087" s="1027">
        <f t="shared" si="298"/>
        <v>2.3708932828769904</v>
      </c>
      <c r="BJ1087" s="1030"/>
      <c r="BK1087" s="998"/>
      <c r="BL1087" s="998"/>
      <c r="BM1087" s="998"/>
      <c r="BN1087" s="998"/>
    </row>
    <row r="1088" spans="1:66" s="996" customFormat="1" ht="69" customHeight="1">
      <c r="A1088" s="64"/>
      <c r="B1088" s="1807"/>
      <c r="C1088" s="1804">
        <v>2</v>
      </c>
      <c r="D1088" s="1804">
        <v>1</v>
      </c>
      <c r="E1088" s="1804">
        <v>2</v>
      </c>
      <c r="F1088" s="1804">
        <v>13</v>
      </c>
      <c r="G1088" s="1781">
        <v>18</v>
      </c>
      <c r="H1088" s="1808">
        <v>26</v>
      </c>
      <c r="I1088" s="1809" t="s">
        <v>2476</v>
      </c>
      <c r="J1088" s="1810" t="s">
        <v>2477</v>
      </c>
      <c r="K1088" s="1810">
        <v>500</v>
      </c>
      <c r="L1088" s="1811">
        <v>1166664500</v>
      </c>
      <c r="M1088" s="1808">
        <v>95.98</v>
      </c>
      <c r="N1088" s="1812">
        <v>174657100</v>
      </c>
      <c r="O1088" s="1813">
        <v>100</v>
      </c>
      <c r="P1088" s="1814">
        <v>298988000</v>
      </c>
      <c r="Q1088" s="1815" t="e">
        <f>'[1]Maret 2018'!$I$119</f>
        <v>#REF!</v>
      </c>
      <c r="R1088" s="1814">
        <v>75387164</v>
      </c>
      <c r="S1088" s="1808"/>
      <c r="T1088" s="1808"/>
      <c r="U1088" s="1808"/>
      <c r="V1088" s="1808"/>
      <c r="W1088" s="1808"/>
      <c r="X1088" s="1808"/>
      <c r="Y1088" s="1815" t="e">
        <f>Q1088</f>
        <v>#REF!</v>
      </c>
      <c r="Z1088" s="1814">
        <v>75387164</v>
      </c>
      <c r="AA1088" s="1815" t="e">
        <f t="shared" si="291"/>
        <v>#REF!</v>
      </c>
      <c r="AB1088" s="1814">
        <v>75387164</v>
      </c>
      <c r="AC1088" s="1673" t="e">
        <f t="shared" si="292"/>
        <v>#REF!</v>
      </c>
      <c r="AD1088" s="1674">
        <f t="shared" si="292"/>
        <v>6.4617689147136987</v>
      </c>
      <c r="AE1088" s="1675" t="s">
        <v>2418</v>
      </c>
      <c r="AF1088" s="499"/>
      <c r="AG1088" s="1017"/>
      <c r="AH1088" s="1017"/>
      <c r="AI1088" s="1017"/>
      <c r="AJ1088" s="1017"/>
      <c r="AK1088" s="1017"/>
      <c r="AL1088" s="1017"/>
      <c r="AM1088" s="1017"/>
      <c r="AN1088" s="1022" t="s">
        <v>1319</v>
      </c>
      <c r="AO1088" s="1028" t="s">
        <v>1320</v>
      </c>
      <c r="AP1088" s="1028">
        <v>240</v>
      </c>
      <c r="AQ1088" s="1026">
        <v>3722633</v>
      </c>
      <c r="AR1088" s="1028">
        <v>60</v>
      </c>
      <c r="AS1088" s="1026">
        <v>60122</v>
      </c>
      <c r="AT1088" s="1028">
        <v>60</v>
      </c>
      <c r="AU1088" s="1026">
        <v>412633.7</v>
      </c>
      <c r="AV1088" s="1027">
        <v>0</v>
      </c>
      <c r="AW1088" s="1020">
        <v>135</v>
      </c>
      <c r="AX1088" s="1027">
        <f t="shared" si="293"/>
        <v>0</v>
      </c>
      <c r="AY1088" s="1027">
        <v>0</v>
      </c>
      <c r="AZ1088" s="1027">
        <f t="shared" si="294"/>
        <v>0</v>
      </c>
      <c r="BA1088" s="1027">
        <v>0</v>
      </c>
      <c r="BB1088" s="1027">
        <f t="shared" si="295"/>
        <v>0</v>
      </c>
      <c r="BC1088" s="1027">
        <v>0</v>
      </c>
      <c r="BD1088" s="1027">
        <f t="shared" si="296"/>
        <v>0</v>
      </c>
      <c r="BE1088" s="1027">
        <f t="shared" si="296"/>
        <v>135</v>
      </c>
      <c r="BF1088" s="1027">
        <f t="shared" si="297"/>
        <v>60</v>
      </c>
      <c r="BG1088" s="1027">
        <f t="shared" si="297"/>
        <v>60257</v>
      </c>
      <c r="BH1088" s="1027">
        <f t="shared" si="298"/>
        <v>25</v>
      </c>
      <c r="BI1088" s="1027">
        <f t="shared" si="298"/>
        <v>1.6186661430229625</v>
      </c>
      <c r="BJ1088" s="1031"/>
    </row>
    <row r="1089" spans="1:64" s="996" customFormat="1" ht="57" customHeight="1">
      <c r="A1089" s="64">
        <v>3</v>
      </c>
      <c r="B1089" s="1807" t="s">
        <v>2478</v>
      </c>
      <c r="C1089" s="1785">
        <v>13</v>
      </c>
      <c r="D1089" s="1785">
        <v>1</v>
      </c>
      <c r="E1089" s="1785">
        <v>2</v>
      </c>
      <c r="F1089" s="1785">
        <v>13</v>
      </c>
      <c r="G1089" s="1816">
        <v>16</v>
      </c>
      <c r="H1089" s="1817"/>
      <c r="I1089" s="1818" t="s">
        <v>2479</v>
      </c>
      <c r="J1089" s="1819" t="s">
        <v>2480</v>
      </c>
      <c r="K1089" s="1747"/>
      <c r="L1089" s="1748"/>
      <c r="M1089" s="1749"/>
      <c r="N1089" s="1748"/>
      <c r="O1089" s="1749"/>
      <c r="P1089" s="1748">
        <f>SUM(P1090:P1094)</f>
        <v>925875640</v>
      </c>
      <c r="Q1089" s="1749"/>
      <c r="R1089" s="1748"/>
      <c r="S1089" s="1749"/>
      <c r="T1089" s="1749"/>
      <c r="U1089" s="1749"/>
      <c r="V1089" s="1749"/>
      <c r="W1089" s="1749"/>
      <c r="X1089" s="1749"/>
      <c r="Y1089" s="1749"/>
      <c r="Z1089" s="1748"/>
      <c r="AA1089" s="1749"/>
      <c r="AB1089" s="1748">
        <f>SUM(AB1090:AB1094)</f>
        <v>989541538</v>
      </c>
      <c r="AC1089" s="1671"/>
      <c r="AD1089" s="1671"/>
      <c r="AE1089" s="24" t="s">
        <v>2418</v>
      </c>
      <c r="AF1089" s="499"/>
      <c r="AG1089" s="1017"/>
      <c r="AH1089" s="1017"/>
      <c r="AI1089" s="1017"/>
      <c r="AJ1089" s="1017"/>
      <c r="AK1089" s="1017"/>
      <c r="AL1089" s="1017"/>
      <c r="AM1089" s="1017"/>
      <c r="AN1089" s="1016" t="s">
        <v>1321</v>
      </c>
      <c r="AO1089" s="1017" t="s">
        <v>1322</v>
      </c>
      <c r="AP1089" s="1018">
        <v>1796305</v>
      </c>
      <c r="AQ1089" s="2528">
        <f>SUM(L1101:L1113)</f>
        <v>262059511</v>
      </c>
      <c r="AR1089" s="1018">
        <v>647192.19999999995</v>
      </c>
      <c r="AS1089" s="2528">
        <f>SUM(N1101:N1113)</f>
        <v>51378077.899999999</v>
      </c>
      <c r="AT1089" s="1018">
        <v>296078</v>
      </c>
      <c r="AU1089" s="2528">
        <f>SUM(P1101:P1113)</f>
        <v>8031454615.8000002</v>
      </c>
      <c r="AV1089" s="1018">
        <v>109610</v>
      </c>
      <c r="AW1089" s="2546">
        <f>SUM(R1101:R1113)</f>
        <v>12567438.099999998</v>
      </c>
      <c r="AX1089" s="1027">
        <v>0</v>
      </c>
      <c r="AY1089" s="2528">
        <v>0</v>
      </c>
      <c r="AZ1089" s="1027">
        <v>0</v>
      </c>
      <c r="BA1089" s="2528">
        <v>0</v>
      </c>
      <c r="BB1089" s="1027">
        <v>0</v>
      </c>
      <c r="BC1089" s="2528">
        <v>0</v>
      </c>
      <c r="BD1089" s="1027">
        <f t="shared" si="296"/>
        <v>109610</v>
      </c>
      <c r="BE1089" s="2528">
        <f t="shared" si="296"/>
        <v>12567438.099999998</v>
      </c>
      <c r="BF1089" s="1027">
        <f t="shared" si="297"/>
        <v>756802.2</v>
      </c>
      <c r="BG1089" s="2528">
        <f>AS1089+BE1089</f>
        <v>63945516</v>
      </c>
      <c r="BH1089" s="1027">
        <f t="shared" si="298"/>
        <v>42.131052354694773</v>
      </c>
      <c r="BI1089" s="2531">
        <f>BG1089/AQ1089*100%</f>
        <v>0.24401142990761363</v>
      </c>
      <c r="BJ1089" s="1031"/>
      <c r="BL1089" s="999">
        <f>(SUM(BL1090:BL1100)/12)*100%</f>
        <v>29.179279825066931</v>
      </c>
    </row>
    <row r="1090" spans="1:64" s="996" customFormat="1" ht="57" customHeight="1">
      <c r="A1090" s="64"/>
      <c r="B1090" s="1750"/>
      <c r="C1090" s="1785">
        <v>13</v>
      </c>
      <c r="D1090" s="1785">
        <v>1</v>
      </c>
      <c r="E1090" s="1785">
        <v>2</v>
      </c>
      <c r="F1090" s="1785">
        <v>13</v>
      </c>
      <c r="G1090" s="1785">
        <v>16</v>
      </c>
      <c r="H1090" s="754">
        <v>2</v>
      </c>
      <c r="I1090" s="1793" t="s">
        <v>2481</v>
      </c>
      <c r="J1090" s="1064" t="s">
        <v>2482</v>
      </c>
      <c r="K1090" s="1730">
        <v>5</v>
      </c>
      <c r="L1090" s="1820">
        <v>4116009675</v>
      </c>
      <c r="M1090" s="1733">
        <v>1</v>
      </c>
      <c r="N1090" s="1400">
        <v>831775050</v>
      </c>
      <c r="O1090" s="1730">
        <v>1</v>
      </c>
      <c r="P1090" s="1731">
        <v>767792780</v>
      </c>
      <c r="Q1090" s="1733" t="e">
        <f>'[1]Maret 2018'!$I$143</f>
        <v>#REF!</v>
      </c>
      <c r="R1090" s="1731">
        <v>1250000</v>
      </c>
      <c r="S1090" s="754"/>
      <c r="T1090" s="754"/>
      <c r="U1090" s="754"/>
      <c r="V1090" s="754"/>
      <c r="W1090" s="754"/>
      <c r="X1090" s="754"/>
      <c r="Y1090" s="1733" t="e">
        <f>Q1090</f>
        <v>#REF!</v>
      </c>
      <c r="Z1090" s="1731">
        <v>1250000</v>
      </c>
      <c r="AA1090" s="1733" t="e">
        <f t="shared" ref="AA1090:AB1094" si="299">M1090+Y1090</f>
        <v>#REF!</v>
      </c>
      <c r="AB1090" s="1731">
        <f t="shared" si="299"/>
        <v>833025050</v>
      </c>
      <c r="AC1090" s="19" t="e">
        <f t="shared" ref="AC1090:AD1094" si="300">AA1090/K1090*100</f>
        <v>#REF!</v>
      </c>
      <c r="AD1090" s="19">
        <f t="shared" si="300"/>
        <v>20.238656266035136</v>
      </c>
      <c r="AE1090" s="24" t="s">
        <v>2418</v>
      </c>
      <c r="AF1090" s="499"/>
      <c r="AG1090" s="1017"/>
      <c r="AH1090" s="1017"/>
      <c r="AI1090" s="1017"/>
      <c r="AJ1090" s="1017"/>
      <c r="AK1090" s="1017"/>
      <c r="AL1090" s="1017"/>
      <c r="AM1090" s="1017"/>
      <c r="AN1090" s="1016"/>
      <c r="AO1090" s="1017" t="s">
        <v>1323</v>
      </c>
      <c r="AP1090" s="1018">
        <v>775968</v>
      </c>
      <c r="AQ1090" s="2529"/>
      <c r="AR1090" s="1018">
        <v>327261.09999999998</v>
      </c>
      <c r="AS1090" s="2529"/>
      <c r="AT1090" s="1018">
        <v>117398</v>
      </c>
      <c r="AU1090" s="2529"/>
      <c r="AV1090" s="1018">
        <v>34684</v>
      </c>
      <c r="AW1090" s="2547"/>
      <c r="AX1090" s="1027">
        <v>0</v>
      </c>
      <c r="AY1090" s="2529"/>
      <c r="AZ1090" s="1027">
        <v>0</v>
      </c>
      <c r="BA1090" s="2529"/>
      <c r="BB1090" s="1027">
        <v>0</v>
      </c>
      <c r="BC1090" s="2529"/>
      <c r="BD1090" s="1027">
        <f t="shared" si="296"/>
        <v>34684</v>
      </c>
      <c r="BE1090" s="2529"/>
      <c r="BF1090" s="1027">
        <f t="shared" si="297"/>
        <v>361945.1</v>
      </c>
      <c r="BG1090" s="2529"/>
      <c r="BH1090" s="1027">
        <f t="shared" si="298"/>
        <v>46.644333271475105</v>
      </c>
      <c r="BI1090" s="2532"/>
      <c r="BJ1090" s="1031"/>
      <c r="BL1090" s="1000">
        <f>AV1090/AT1090*100</f>
        <v>29.54394453057122</v>
      </c>
    </row>
    <row r="1091" spans="1:64" s="996" customFormat="1" ht="57" customHeight="1">
      <c r="A1091" s="64"/>
      <c r="B1091" s="1750"/>
      <c r="C1091" s="1785">
        <v>13</v>
      </c>
      <c r="D1091" s="1785">
        <v>1</v>
      </c>
      <c r="E1091" s="1785">
        <v>2</v>
      </c>
      <c r="F1091" s="1785">
        <v>13</v>
      </c>
      <c r="G1091" s="1785">
        <v>16</v>
      </c>
      <c r="H1091" s="754">
        <v>3</v>
      </c>
      <c r="I1091" s="1821" t="s">
        <v>2483</v>
      </c>
      <c r="J1091" s="1798" t="s">
        <v>2484</v>
      </c>
      <c r="K1091" s="1730">
        <v>200</v>
      </c>
      <c r="L1091" s="1822">
        <v>80000000</v>
      </c>
      <c r="M1091" s="754"/>
      <c r="N1091" s="1731"/>
      <c r="O1091" s="1730">
        <v>100</v>
      </c>
      <c r="P1091" s="1731">
        <v>26285320</v>
      </c>
      <c r="Q1091" s="1733" t="e">
        <f>'[1]Maret 2018'!$I$147</f>
        <v>#REF!</v>
      </c>
      <c r="R1091" s="1731">
        <v>3154000</v>
      </c>
      <c r="S1091" s="754"/>
      <c r="T1091" s="754"/>
      <c r="U1091" s="754"/>
      <c r="V1091" s="754"/>
      <c r="W1091" s="754"/>
      <c r="X1091" s="754"/>
      <c r="Y1091" s="1733" t="e">
        <f>Q1091</f>
        <v>#REF!</v>
      </c>
      <c r="Z1091" s="1731">
        <v>3154000</v>
      </c>
      <c r="AA1091" s="1733" t="e">
        <f>Y1091+M1091</f>
        <v>#REF!</v>
      </c>
      <c r="AB1091" s="1731">
        <f t="shared" si="299"/>
        <v>3154000</v>
      </c>
      <c r="AC1091" s="19" t="e">
        <f t="shared" si="300"/>
        <v>#REF!</v>
      </c>
      <c r="AD1091" s="19">
        <f t="shared" si="300"/>
        <v>3.9425000000000003</v>
      </c>
      <c r="AE1091" s="24" t="s">
        <v>2418</v>
      </c>
      <c r="AF1091" s="499"/>
      <c r="AG1091" s="1017"/>
      <c r="AH1091" s="1017"/>
      <c r="AI1091" s="1017"/>
      <c r="AJ1091" s="1017"/>
      <c r="AK1091" s="1017"/>
      <c r="AL1091" s="1017"/>
      <c r="AM1091" s="1017"/>
      <c r="AN1091" s="1016"/>
      <c r="AO1091" s="1017" t="s">
        <v>1324</v>
      </c>
      <c r="AP1091" s="1018">
        <v>18455</v>
      </c>
      <c r="AQ1091" s="2529"/>
      <c r="AR1091" s="1018">
        <v>8241</v>
      </c>
      <c r="AS1091" s="2529"/>
      <c r="AT1091" s="1018">
        <v>2991</v>
      </c>
      <c r="AU1091" s="2529"/>
      <c r="AV1091" s="1018">
        <v>750</v>
      </c>
      <c r="AW1091" s="2547"/>
      <c r="AX1091" s="1027">
        <v>0</v>
      </c>
      <c r="AY1091" s="2529"/>
      <c r="AZ1091" s="1027">
        <v>0</v>
      </c>
      <c r="BA1091" s="2529"/>
      <c r="BB1091" s="1027">
        <v>0</v>
      </c>
      <c r="BC1091" s="2529"/>
      <c r="BD1091" s="1027">
        <f t="shared" si="296"/>
        <v>750</v>
      </c>
      <c r="BE1091" s="2529"/>
      <c r="BF1091" s="1027">
        <f t="shared" si="297"/>
        <v>8991</v>
      </c>
      <c r="BG1091" s="2529"/>
      <c r="BH1091" s="1027">
        <f t="shared" si="298"/>
        <v>48.718504470333244</v>
      </c>
      <c r="BI1091" s="2532"/>
      <c r="BJ1091" s="1031"/>
      <c r="BL1091" s="1000">
        <f t="shared" ref="BL1091:BL1100" si="301">AV1091/AT1091*100</f>
        <v>25.075225677031092</v>
      </c>
    </row>
    <row r="1092" spans="1:64" s="996" customFormat="1" ht="57" customHeight="1">
      <c r="A1092" s="64"/>
      <c r="B1092" s="1750"/>
      <c r="C1092" s="1785">
        <v>13</v>
      </c>
      <c r="D1092" s="1785">
        <v>1</v>
      </c>
      <c r="E1092" s="1785">
        <v>2</v>
      </c>
      <c r="F1092" s="1785">
        <v>13</v>
      </c>
      <c r="G1092" s="1785">
        <v>16</v>
      </c>
      <c r="H1092" s="754">
        <v>14</v>
      </c>
      <c r="I1092" s="1793" t="s">
        <v>2485</v>
      </c>
      <c r="J1092" s="1798" t="s">
        <v>2486</v>
      </c>
      <c r="K1092" s="1730">
        <v>500</v>
      </c>
      <c r="L1092" s="1820">
        <v>303750000</v>
      </c>
      <c r="M1092" s="1400">
        <v>96.8</v>
      </c>
      <c r="N1092" s="1400">
        <v>59901900</v>
      </c>
      <c r="O1092" s="1796">
        <v>100</v>
      </c>
      <c r="P1092" s="1731">
        <v>70571200</v>
      </c>
      <c r="Q1092" s="1733">
        <f>'[1]Maret 2018'!$I$134</f>
        <v>2.7142306066071682</v>
      </c>
      <c r="R1092" s="1731">
        <v>20726400</v>
      </c>
      <c r="S1092" s="754"/>
      <c r="T1092" s="754"/>
      <c r="U1092" s="754"/>
      <c r="V1092" s="754"/>
      <c r="W1092" s="754"/>
      <c r="X1092" s="754"/>
      <c r="Y1092" s="1733">
        <f>Q1092</f>
        <v>2.7142306066071682</v>
      </c>
      <c r="Z1092" s="1731">
        <v>20726400</v>
      </c>
      <c r="AA1092" s="1733">
        <f t="shared" si="299"/>
        <v>99.514230606607171</v>
      </c>
      <c r="AB1092" s="1731">
        <f t="shared" si="299"/>
        <v>80628300</v>
      </c>
      <c r="AC1092" s="19">
        <f t="shared" si="300"/>
        <v>19.902846121321435</v>
      </c>
      <c r="AD1092" s="19">
        <f t="shared" si="300"/>
        <v>26.544296296296295</v>
      </c>
      <c r="AE1092" s="24" t="s">
        <v>2418</v>
      </c>
      <c r="AF1092" s="499"/>
      <c r="AG1092" s="1017"/>
      <c r="AH1092" s="1017"/>
      <c r="AI1092" s="1017"/>
      <c r="AJ1092" s="1017"/>
      <c r="AK1092" s="1017"/>
      <c r="AL1092" s="1017"/>
      <c r="AM1092" s="1017"/>
      <c r="AN1092" s="1016"/>
      <c r="AO1092" s="1017" t="s">
        <v>1325</v>
      </c>
      <c r="AP1092" s="1018">
        <v>1509</v>
      </c>
      <c r="AQ1092" s="2529"/>
      <c r="AR1092" s="1018">
        <v>1552</v>
      </c>
      <c r="AS1092" s="2529"/>
      <c r="AT1092" s="1018">
        <v>250</v>
      </c>
      <c r="AU1092" s="2529"/>
      <c r="AV1092" s="1018">
        <v>15</v>
      </c>
      <c r="AW1092" s="2547"/>
      <c r="AX1092" s="1027">
        <v>0</v>
      </c>
      <c r="AY1092" s="2529"/>
      <c r="AZ1092" s="1027">
        <v>0</v>
      </c>
      <c r="BA1092" s="2529"/>
      <c r="BB1092" s="1027">
        <v>0</v>
      </c>
      <c r="BC1092" s="2529"/>
      <c r="BD1092" s="1027">
        <f t="shared" si="296"/>
        <v>15</v>
      </c>
      <c r="BE1092" s="2529"/>
      <c r="BF1092" s="1027">
        <f t="shared" si="297"/>
        <v>1567</v>
      </c>
      <c r="BG1092" s="2529"/>
      <c r="BH1092" s="1027">
        <f t="shared" si="298"/>
        <v>103.84360503644798</v>
      </c>
      <c r="BI1092" s="2532"/>
      <c r="BJ1092" s="1031"/>
      <c r="BL1092" s="1000">
        <f t="shared" si="301"/>
        <v>6</v>
      </c>
    </row>
    <row r="1093" spans="1:64" s="996" customFormat="1" ht="57" customHeight="1">
      <c r="A1093" s="1823"/>
      <c r="B1093" s="1824"/>
      <c r="C1093" s="1825">
        <v>13</v>
      </c>
      <c r="D1093" s="1826">
        <v>1</v>
      </c>
      <c r="E1093" s="1826">
        <v>2</v>
      </c>
      <c r="F1093" s="1826">
        <v>13</v>
      </c>
      <c r="G1093" s="1785">
        <v>16</v>
      </c>
      <c r="H1093" s="754">
        <v>15</v>
      </c>
      <c r="I1093" s="1797" t="s">
        <v>2487</v>
      </c>
      <c r="J1093" s="1805" t="s">
        <v>2488</v>
      </c>
      <c r="K1093" s="1730">
        <v>500</v>
      </c>
      <c r="L1093" s="1790">
        <v>250000000</v>
      </c>
      <c r="M1093" s="1400">
        <v>95.47</v>
      </c>
      <c r="N1093" s="1400">
        <v>47734188</v>
      </c>
      <c r="O1093" s="1730">
        <v>100</v>
      </c>
      <c r="P1093" s="1731">
        <v>30000100</v>
      </c>
      <c r="Q1093" s="754"/>
      <c r="R1093" s="1731"/>
      <c r="S1093" s="754"/>
      <c r="T1093" s="754"/>
      <c r="U1093" s="754"/>
      <c r="V1093" s="754"/>
      <c r="W1093" s="754"/>
      <c r="X1093" s="754"/>
      <c r="Y1093" s="754"/>
      <c r="Z1093" s="1731"/>
      <c r="AA1093" s="1733">
        <f t="shared" si="299"/>
        <v>95.47</v>
      </c>
      <c r="AB1093" s="1731">
        <f t="shared" si="299"/>
        <v>47734188</v>
      </c>
      <c r="AC1093" s="19">
        <f t="shared" si="300"/>
        <v>19.094000000000001</v>
      </c>
      <c r="AD1093" s="19">
        <f t="shared" si="300"/>
        <v>19.0936752</v>
      </c>
      <c r="AE1093" s="24" t="s">
        <v>2418</v>
      </c>
      <c r="AF1093" s="499"/>
      <c r="AG1093" s="1017"/>
      <c r="AH1093" s="1017"/>
      <c r="AI1093" s="1017"/>
      <c r="AJ1093" s="1017"/>
      <c r="AK1093" s="1017"/>
      <c r="AL1093" s="1017"/>
      <c r="AM1093" s="1017"/>
      <c r="AN1093" s="1016"/>
      <c r="AO1093" s="1017" t="s">
        <v>1326</v>
      </c>
      <c r="AP1093" s="1018">
        <v>179202</v>
      </c>
      <c r="AQ1093" s="2529"/>
      <c r="AR1093" s="1018">
        <v>64362</v>
      </c>
      <c r="AS1093" s="2529"/>
      <c r="AT1093" s="1018">
        <v>29713</v>
      </c>
      <c r="AU1093" s="2529"/>
      <c r="AV1093" s="1018">
        <v>12547</v>
      </c>
      <c r="AW1093" s="2547"/>
      <c r="AX1093" s="1027">
        <v>0</v>
      </c>
      <c r="AY1093" s="2529"/>
      <c r="AZ1093" s="1027">
        <v>0</v>
      </c>
      <c r="BA1093" s="2529"/>
      <c r="BB1093" s="1027">
        <v>0</v>
      </c>
      <c r="BC1093" s="2529"/>
      <c r="BD1093" s="1027">
        <f t="shared" si="296"/>
        <v>12547</v>
      </c>
      <c r="BE1093" s="2529"/>
      <c r="BF1093" s="1027">
        <f t="shared" si="297"/>
        <v>76909</v>
      </c>
      <c r="BG1093" s="2529"/>
      <c r="BH1093" s="1027">
        <f t="shared" si="298"/>
        <v>42.917489760158929</v>
      </c>
      <c r="BI1093" s="2532"/>
      <c r="BJ1093" s="1031"/>
      <c r="BL1093" s="1000">
        <f t="shared" si="301"/>
        <v>42.227307912361596</v>
      </c>
    </row>
    <row r="1094" spans="1:64" s="996" customFormat="1" ht="57" customHeight="1">
      <c r="A1094" s="1389"/>
      <c r="B1094" s="1385"/>
      <c r="C1094" s="1804">
        <v>13</v>
      </c>
      <c r="D1094" s="1804">
        <v>1</v>
      </c>
      <c r="E1094" s="1804">
        <v>2</v>
      </c>
      <c r="F1094" s="1804">
        <v>13</v>
      </c>
      <c r="G1094" s="1781">
        <v>16</v>
      </c>
      <c r="H1094" s="754">
        <v>20</v>
      </c>
      <c r="I1094" s="1797" t="s">
        <v>2489</v>
      </c>
      <c r="J1094" s="1064" t="s">
        <v>2490</v>
      </c>
      <c r="K1094" s="1730">
        <v>5</v>
      </c>
      <c r="L1094" s="1790">
        <v>125000000</v>
      </c>
      <c r="M1094" s="1733">
        <v>1</v>
      </c>
      <c r="N1094" s="1400">
        <f>'[4]November 2017'!$I$197</f>
        <v>25000000</v>
      </c>
      <c r="O1094" s="1730">
        <v>5</v>
      </c>
      <c r="P1094" s="1731">
        <v>31226240</v>
      </c>
      <c r="Q1094" s="754"/>
      <c r="R1094" s="1731"/>
      <c r="S1094" s="754"/>
      <c r="T1094" s="754"/>
      <c r="U1094" s="754"/>
      <c r="V1094" s="754"/>
      <c r="W1094" s="754"/>
      <c r="X1094" s="754"/>
      <c r="Y1094" s="754"/>
      <c r="Z1094" s="1731"/>
      <c r="AA1094" s="1733">
        <f t="shared" si="299"/>
        <v>1</v>
      </c>
      <c r="AB1094" s="1731">
        <f t="shared" si="299"/>
        <v>25000000</v>
      </c>
      <c r="AC1094" s="19">
        <f t="shared" si="300"/>
        <v>20</v>
      </c>
      <c r="AD1094" s="19">
        <f t="shared" si="300"/>
        <v>20</v>
      </c>
      <c r="AE1094" s="24" t="s">
        <v>2418</v>
      </c>
      <c r="AF1094" s="499"/>
      <c r="AG1094" s="1017"/>
      <c r="AH1094" s="1017"/>
      <c r="AI1094" s="1017"/>
      <c r="AJ1094" s="1017"/>
      <c r="AK1094" s="1017"/>
      <c r="AL1094" s="1017"/>
      <c r="AM1094" s="1017"/>
      <c r="AN1094" s="1016"/>
      <c r="AO1094" s="1017" t="s">
        <v>1327</v>
      </c>
      <c r="AP1094" s="1018">
        <v>1063225</v>
      </c>
      <c r="AQ1094" s="2529"/>
      <c r="AR1094" s="1018">
        <v>333218.40000000002</v>
      </c>
      <c r="AS1094" s="2529"/>
      <c r="AT1094" s="1018">
        <v>166740</v>
      </c>
      <c r="AU1094" s="2529"/>
      <c r="AV1094" s="1018">
        <v>83800</v>
      </c>
      <c r="AW1094" s="2547"/>
      <c r="AX1094" s="1027">
        <v>0</v>
      </c>
      <c r="AY1094" s="2529"/>
      <c r="AZ1094" s="1027">
        <v>0</v>
      </c>
      <c r="BA1094" s="2529"/>
      <c r="BB1094" s="1027">
        <v>0</v>
      </c>
      <c r="BC1094" s="2529"/>
      <c r="BD1094" s="1027">
        <f t="shared" si="296"/>
        <v>83800</v>
      </c>
      <c r="BE1094" s="2529"/>
      <c r="BF1094" s="1027">
        <f t="shared" si="297"/>
        <v>417018.4</v>
      </c>
      <c r="BG1094" s="2529"/>
      <c r="BH1094" s="1027">
        <f t="shared" si="298"/>
        <v>39.22202732253286</v>
      </c>
      <c r="BI1094" s="2532"/>
      <c r="BJ1094" s="1031"/>
      <c r="BL1094" s="1000">
        <f t="shared" si="301"/>
        <v>50.257886529926829</v>
      </c>
    </row>
    <row r="1095" spans="1:64" s="996" customFormat="1" ht="57" customHeight="1">
      <c r="A1095" s="1802">
        <v>4</v>
      </c>
      <c r="B1095" s="65" t="s">
        <v>2491</v>
      </c>
      <c r="C1095" s="1827">
        <v>13</v>
      </c>
      <c r="D1095" s="1827">
        <v>1</v>
      </c>
      <c r="E1095" s="1827">
        <v>2</v>
      </c>
      <c r="F1095" s="1827">
        <v>13</v>
      </c>
      <c r="G1095" s="1828">
        <v>20</v>
      </c>
      <c r="H1095" s="1828"/>
      <c r="I1095" s="1828" t="s">
        <v>2492</v>
      </c>
      <c r="J1095" s="1829" t="s">
        <v>2493</v>
      </c>
      <c r="K1095" s="1830"/>
      <c r="L1095" s="1831"/>
      <c r="M1095" s="1832"/>
      <c r="N1095" s="1831"/>
      <c r="O1095" s="1832"/>
      <c r="P1095" s="1831">
        <f>P1096+P1097+P1098+P1099</f>
        <v>782157459</v>
      </c>
      <c r="Q1095" s="1832"/>
      <c r="R1095" s="1831"/>
      <c r="S1095" s="1832"/>
      <c r="T1095" s="1832"/>
      <c r="U1095" s="1832"/>
      <c r="V1095" s="1832"/>
      <c r="W1095" s="1832"/>
      <c r="X1095" s="1832"/>
      <c r="Y1095" s="1832"/>
      <c r="Z1095" s="1831"/>
      <c r="AA1095" s="1832"/>
      <c r="AB1095" s="1831">
        <f>AB1096+AB1097+AB1098+AB1099</f>
        <v>824872819</v>
      </c>
      <c r="AC1095" s="1676"/>
      <c r="AD1095" s="1676"/>
      <c r="AE1095" s="1675" t="s">
        <v>2418</v>
      </c>
      <c r="AF1095" s="499"/>
      <c r="AG1095" s="1017"/>
      <c r="AH1095" s="1017"/>
      <c r="AI1095" s="1017"/>
      <c r="AJ1095" s="1017"/>
      <c r="AK1095" s="1017"/>
      <c r="AL1095" s="1017"/>
      <c r="AM1095" s="1017"/>
      <c r="AN1095" s="1016"/>
      <c r="AO1095" s="1017" t="s">
        <v>1328</v>
      </c>
      <c r="AP1095" s="1018">
        <v>66118</v>
      </c>
      <c r="AQ1095" s="2529"/>
      <c r="AR1095" s="1018">
        <v>20938</v>
      </c>
      <c r="AS1095" s="2529"/>
      <c r="AT1095" s="1018">
        <v>10963</v>
      </c>
      <c r="AU1095" s="2529"/>
      <c r="AV1095" s="1018">
        <v>2957</v>
      </c>
      <c r="AW1095" s="2547"/>
      <c r="AX1095" s="1027">
        <v>0</v>
      </c>
      <c r="AY1095" s="2529"/>
      <c r="AZ1095" s="1027">
        <v>0</v>
      </c>
      <c r="BA1095" s="2529"/>
      <c r="BB1095" s="1027">
        <v>0</v>
      </c>
      <c r="BC1095" s="2529"/>
      <c r="BD1095" s="1027">
        <f t="shared" si="296"/>
        <v>2957</v>
      </c>
      <c r="BE1095" s="2529"/>
      <c r="BF1095" s="1027">
        <f t="shared" si="297"/>
        <v>23895</v>
      </c>
      <c r="BG1095" s="2529"/>
      <c r="BH1095" s="1027">
        <f t="shared" si="298"/>
        <v>36.139931637375597</v>
      </c>
      <c r="BI1095" s="2532"/>
      <c r="BJ1095" s="1031"/>
      <c r="BL1095" s="1000">
        <f t="shared" si="301"/>
        <v>26.972544011675637</v>
      </c>
    </row>
    <row r="1096" spans="1:64" s="996" customFormat="1" ht="57" customHeight="1">
      <c r="A1096" s="64"/>
      <c r="B1096" s="1750"/>
      <c r="C1096" s="1825">
        <v>13</v>
      </c>
      <c r="D1096" s="1826">
        <v>1</v>
      </c>
      <c r="E1096" s="1826">
        <v>2</v>
      </c>
      <c r="F1096" s="1826">
        <v>13</v>
      </c>
      <c r="G1096" s="1047">
        <v>20</v>
      </c>
      <c r="H1096" s="1716">
        <v>19</v>
      </c>
      <c r="I1096" s="1833" t="s">
        <v>2494</v>
      </c>
      <c r="J1096" s="1805" t="s">
        <v>2495</v>
      </c>
      <c r="K1096" s="1834">
        <v>6</v>
      </c>
      <c r="L1096" s="1835">
        <v>2085681345</v>
      </c>
      <c r="M1096" s="1836">
        <v>1</v>
      </c>
      <c r="N1096" s="1836">
        <f>'[5]triwulan II (2)'!$AH$53</f>
        <v>347051059</v>
      </c>
      <c r="O1096" s="1837">
        <v>1</v>
      </c>
      <c r="P1096" s="1838">
        <v>326109059</v>
      </c>
      <c r="Q1096" s="1839">
        <f>'[1]Maret 2018'!$I$152</f>
        <v>2.2447142577208359</v>
      </c>
      <c r="R1096" s="1838">
        <v>7362200</v>
      </c>
      <c r="S1096" s="1716"/>
      <c r="T1096" s="1716"/>
      <c r="U1096" s="1716"/>
      <c r="V1096" s="1716"/>
      <c r="W1096" s="1716"/>
      <c r="X1096" s="1716"/>
      <c r="Y1096" s="1839">
        <v>0</v>
      </c>
      <c r="Z1096" s="1838">
        <v>7362200</v>
      </c>
      <c r="AA1096" s="1839">
        <f>M1096+Y1096</f>
        <v>1</v>
      </c>
      <c r="AB1096" s="1838">
        <f>N1096+Z1096</f>
        <v>354413259</v>
      </c>
      <c r="AC1096" s="1677">
        <f>AA1096/K1096*100</f>
        <v>16.666666666666664</v>
      </c>
      <c r="AD1096" s="1677">
        <f>AB1096/L1096*100</f>
        <v>16.992684901249859</v>
      </c>
      <c r="AE1096" s="1666" t="s">
        <v>2418</v>
      </c>
      <c r="AF1096" s="499"/>
      <c r="AG1096" s="1017"/>
      <c r="AH1096" s="1017"/>
      <c r="AI1096" s="1017"/>
      <c r="AJ1096" s="1017"/>
      <c r="AK1096" s="1017"/>
      <c r="AL1096" s="1017"/>
      <c r="AM1096" s="1017"/>
      <c r="AN1096" s="1016"/>
      <c r="AO1096" s="1017" t="s">
        <v>1329</v>
      </c>
      <c r="AP1096" s="1018">
        <v>41090</v>
      </c>
      <c r="AQ1096" s="2529"/>
      <c r="AR1096" s="1018">
        <v>11177</v>
      </c>
      <c r="AS1096" s="2529"/>
      <c r="AT1096" s="1018">
        <v>6817</v>
      </c>
      <c r="AU1096" s="2529"/>
      <c r="AV1096" s="1018">
        <v>2577</v>
      </c>
      <c r="AW1096" s="2547"/>
      <c r="AX1096" s="1027">
        <v>0</v>
      </c>
      <c r="AY1096" s="2529"/>
      <c r="AZ1096" s="1027">
        <v>0</v>
      </c>
      <c r="BA1096" s="2529"/>
      <c r="BB1096" s="1027">
        <v>0</v>
      </c>
      <c r="BC1096" s="2529"/>
      <c r="BD1096" s="1027">
        <f t="shared" si="296"/>
        <v>2577</v>
      </c>
      <c r="BE1096" s="2529"/>
      <c r="BF1096" s="1027">
        <f t="shared" si="297"/>
        <v>13754</v>
      </c>
      <c r="BG1096" s="2529"/>
      <c r="BH1096" s="1027">
        <f t="shared" si="298"/>
        <v>33.472864443903624</v>
      </c>
      <c r="BI1096" s="2532"/>
      <c r="BJ1096" s="1031"/>
      <c r="BL1096" s="1000">
        <f t="shared" si="301"/>
        <v>37.802552442423355</v>
      </c>
    </row>
    <row r="1097" spans="1:64" s="996" customFormat="1" ht="57" customHeight="1">
      <c r="A1097" s="64"/>
      <c r="B1097" s="1750"/>
      <c r="C1097" s="1840">
        <v>13</v>
      </c>
      <c r="D1097" s="1840">
        <v>1</v>
      </c>
      <c r="E1097" s="1840">
        <v>2</v>
      </c>
      <c r="F1097" s="1840">
        <v>13</v>
      </c>
      <c r="G1097" s="1808">
        <v>20</v>
      </c>
      <c r="H1097" s="1808">
        <v>20</v>
      </c>
      <c r="I1097" s="1809" t="s">
        <v>2496</v>
      </c>
      <c r="J1097" s="1810" t="s">
        <v>2497</v>
      </c>
      <c r="K1097" s="1794">
        <v>6</v>
      </c>
      <c r="L1097" s="1820">
        <v>2149712100</v>
      </c>
      <c r="M1097" s="1841">
        <v>1</v>
      </c>
      <c r="N1097" s="1842">
        <v>304681560</v>
      </c>
      <c r="O1097" s="1808">
        <v>1</v>
      </c>
      <c r="P1097" s="1814">
        <v>350716040</v>
      </c>
      <c r="Q1097" s="1815" t="e">
        <f>'[1]Maret 2018'!$I$156</f>
        <v>#REF!</v>
      </c>
      <c r="R1097" s="1814">
        <v>1002000</v>
      </c>
      <c r="S1097" s="1808"/>
      <c r="T1097" s="1808"/>
      <c r="U1097" s="1808"/>
      <c r="V1097" s="1808"/>
      <c r="W1097" s="1808"/>
      <c r="X1097" s="1808"/>
      <c r="Y1097" s="1815">
        <v>0</v>
      </c>
      <c r="Z1097" s="1814">
        <v>1002000</v>
      </c>
      <c r="AA1097" s="1815">
        <f>M1097+Y1097</f>
        <v>1</v>
      </c>
      <c r="AB1097" s="1814">
        <f>N1097+Z1097</f>
        <v>305683560</v>
      </c>
      <c r="AC1097" s="1674">
        <f>AA1097/K1097*100</f>
        <v>16.666666666666664</v>
      </c>
      <c r="AD1097" s="1674">
        <f>AB1097/L1097*100</f>
        <v>14.219744122945579</v>
      </c>
      <c r="AE1097" s="1675" t="s">
        <v>2418</v>
      </c>
      <c r="AF1097" s="499"/>
      <c r="AG1097" s="1017"/>
      <c r="AH1097" s="1017"/>
      <c r="AI1097" s="1017"/>
      <c r="AJ1097" s="1017"/>
      <c r="AK1097" s="1017"/>
      <c r="AL1097" s="1017"/>
      <c r="AM1097" s="1017"/>
      <c r="AN1097" s="1016"/>
      <c r="AO1097" s="1017" t="s">
        <v>1330</v>
      </c>
      <c r="AP1097" s="1018">
        <v>1783</v>
      </c>
      <c r="AQ1097" s="2529"/>
      <c r="AR1097" s="1018">
        <v>496.9</v>
      </c>
      <c r="AS1097" s="2529"/>
      <c r="AT1097" s="1018">
        <v>288</v>
      </c>
      <c r="AU1097" s="2529"/>
      <c r="AV1097" s="1018">
        <v>134</v>
      </c>
      <c r="AW1097" s="2547"/>
      <c r="AX1097" s="1027">
        <v>0</v>
      </c>
      <c r="AY1097" s="2529"/>
      <c r="AZ1097" s="1027">
        <v>0</v>
      </c>
      <c r="BA1097" s="2529"/>
      <c r="BB1097" s="1027">
        <v>0</v>
      </c>
      <c r="BC1097" s="2529"/>
      <c r="BD1097" s="1027">
        <f t="shared" si="296"/>
        <v>134</v>
      </c>
      <c r="BE1097" s="2529"/>
      <c r="BF1097" s="1027">
        <f t="shared" si="297"/>
        <v>630.9</v>
      </c>
      <c r="BG1097" s="2529"/>
      <c r="BH1097" s="1027">
        <f t="shared" si="298"/>
        <v>35.384183959618618</v>
      </c>
      <c r="BI1097" s="2532"/>
      <c r="BJ1097" s="1031"/>
      <c r="BL1097" s="1000">
        <f t="shared" si="301"/>
        <v>46.527777777777779</v>
      </c>
    </row>
    <row r="1098" spans="1:64" s="996" customFormat="1" ht="57" customHeight="1">
      <c r="A1098" s="1883"/>
      <c r="B1098" s="1883"/>
      <c r="C1098" s="1840">
        <v>13</v>
      </c>
      <c r="D1098" s="1840">
        <v>1</v>
      </c>
      <c r="E1098" s="1840">
        <v>2</v>
      </c>
      <c r="F1098" s="1840">
        <v>13</v>
      </c>
      <c r="G1098" s="1808">
        <v>20</v>
      </c>
      <c r="H1098" s="754">
        <v>37</v>
      </c>
      <c r="I1098" s="1797" t="s">
        <v>2498</v>
      </c>
      <c r="J1098" s="1798" t="s">
        <v>2499</v>
      </c>
      <c r="K1098" s="1799">
        <v>500</v>
      </c>
      <c r="L1098" s="1843">
        <v>500000000</v>
      </c>
      <c r="M1098" s="1844">
        <v>95.78</v>
      </c>
      <c r="N1098" s="1845">
        <v>97583000</v>
      </c>
      <c r="O1098" s="1730">
        <v>100</v>
      </c>
      <c r="P1098" s="1731">
        <v>75010200</v>
      </c>
      <c r="Q1098" s="754"/>
      <c r="R1098" s="1731"/>
      <c r="S1098" s="754"/>
      <c r="T1098" s="754"/>
      <c r="U1098" s="754"/>
      <c r="V1098" s="754"/>
      <c r="W1098" s="754"/>
      <c r="X1098" s="754"/>
      <c r="Y1098" s="754"/>
      <c r="Z1098" s="1731"/>
      <c r="AA1098" s="1733">
        <f t="shared" ref="AA1098:AB1099" si="302">M1098+Y1098</f>
        <v>95.78</v>
      </c>
      <c r="AB1098" s="1731">
        <f t="shared" si="302"/>
        <v>97583000</v>
      </c>
      <c r="AC1098" s="19">
        <f>AA1098/K1098*100</f>
        <v>19.156000000000002</v>
      </c>
      <c r="AD1098" s="19">
        <f t="shared" ref="AD1098:AD1099" si="303">AB1098/L1098*100</f>
        <v>19.5166</v>
      </c>
      <c r="AE1098" s="24" t="s">
        <v>2418</v>
      </c>
      <c r="AF1098" s="499"/>
      <c r="AG1098" s="1017"/>
      <c r="AH1098" s="1017"/>
      <c r="AI1098" s="1017"/>
      <c r="AJ1098" s="1017"/>
      <c r="AK1098" s="1017"/>
      <c r="AL1098" s="1017"/>
      <c r="AM1098" s="1017"/>
      <c r="AN1098" s="1016"/>
      <c r="AO1098" s="1017" t="s">
        <v>1331</v>
      </c>
      <c r="AP1098" s="1018">
        <v>8547</v>
      </c>
      <c r="AQ1098" s="2529"/>
      <c r="AR1098" s="1018">
        <v>2198.3000000000002</v>
      </c>
      <c r="AS1098" s="2529"/>
      <c r="AT1098" s="1018">
        <v>1424</v>
      </c>
      <c r="AU1098" s="2529"/>
      <c r="AV1098" s="1018">
        <v>226</v>
      </c>
      <c r="AW1098" s="2547"/>
      <c r="AX1098" s="1027">
        <v>0</v>
      </c>
      <c r="AY1098" s="2529"/>
      <c r="AZ1098" s="1027">
        <v>0</v>
      </c>
      <c r="BA1098" s="2529"/>
      <c r="BB1098" s="1027">
        <v>0</v>
      </c>
      <c r="BC1098" s="2529"/>
      <c r="BD1098" s="1027">
        <f t="shared" si="296"/>
        <v>226</v>
      </c>
      <c r="BE1098" s="2529"/>
      <c r="BF1098" s="1027">
        <f t="shared" si="297"/>
        <v>2424.3000000000002</v>
      </c>
      <c r="BG1098" s="2529"/>
      <c r="BH1098" s="1027">
        <f t="shared" si="298"/>
        <v>28.364338364338366</v>
      </c>
      <c r="BI1098" s="2532"/>
      <c r="BJ1098" s="1031"/>
      <c r="BL1098" s="1000">
        <f t="shared" si="301"/>
        <v>15.870786516853933</v>
      </c>
    </row>
    <row r="1099" spans="1:64" s="996" customFormat="1" ht="57" customHeight="1">
      <c r="A1099" s="1883"/>
      <c r="B1099" s="1883"/>
      <c r="C1099" s="1840">
        <v>13</v>
      </c>
      <c r="D1099" s="1840">
        <v>1</v>
      </c>
      <c r="E1099" s="1840">
        <v>2</v>
      </c>
      <c r="F1099" s="1840">
        <v>13</v>
      </c>
      <c r="G1099" s="1808">
        <v>20</v>
      </c>
      <c r="H1099" s="754">
        <v>38</v>
      </c>
      <c r="I1099" s="1846" t="s">
        <v>2500</v>
      </c>
      <c r="J1099" s="1805" t="s">
        <v>2501</v>
      </c>
      <c r="K1099" s="1799">
        <v>500</v>
      </c>
      <c r="L1099" s="1843">
        <f>N1099*5</f>
        <v>290000000</v>
      </c>
      <c r="M1099" s="1847">
        <v>100</v>
      </c>
      <c r="N1099" s="1848">
        <v>58000000</v>
      </c>
      <c r="O1099" s="1730" t="s">
        <v>2502</v>
      </c>
      <c r="P1099" s="1731">
        <v>30322160</v>
      </c>
      <c r="Q1099" s="1733">
        <f>'[1]Maret 2018'!$I$163</f>
        <v>7</v>
      </c>
      <c r="R1099" s="1731">
        <v>9193000</v>
      </c>
      <c r="S1099" s="754"/>
      <c r="T1099" s="754"/>
      <c r="U1099" s="754"/>
      <c r="V1099" s="754"/>
      <c r="W1099" s="754"/>
      <c r="X1099" s="754"/>
      <c r="Y1099" s="1733">
        <f>Q1099</f>
        <v>7</v>
      </c>
      <c r="Z1099" s="1731">
        <v>9193000</v>
      </c>
      <c r="AA1099" s="1733">
        <f t="shared" si="302"/>
        <v>107</v>
      </c>
      <c r="AB1099" s="1731">
        <f t="shared" si="302"/>
        <v>67193000</v>
      </c>
      <c r="AC1099" s="19">
        <f>AA1099/K1099*100</f>
        <v>21.4</v>
      </c>
      <c r="AD1099" s="19">
        <f t="shared" si="303"/>
        <v>23.169999999999998</v>
      </c>
      <c r="AE1099" s="24" t="s">
        <v>2418</v>
      </c>
      <c r="AF1099" s="499"/>
      <c r="AG1099" s="1017"/>
      <c r="AH1099" s="1017"/>
      <c r="AI1099" s="1017"/>
      <c r="AJ1099" s="1017"/>
      <c r="AK1099" s="1017"/>
      <c r="AL1099" s="1017"/>
      <c r="AM1099" s="1017"/>
      <c r="AN1099" s="1016"/>
      <c r="AO1099" s="1017" t="s">
        <v>1332</v>
      </c>
      <c r="AP1099" s="1018">
        <v>7315</v>
      </c>
      <c r="AQ1099" s="2529"/>
      <c r="AR1099" s="1018">
        <v>1989</v>
      </c>
      <c r="AS1099" s="2529"/>
      <c r="AT1099" s="1018">
        <v>1234</v>
      </c>
      <c r="AU1099" s="2529"/>
      <c r="AV1099" s="1018">
        <v>661</v>
      </c>
      <c r="AW1099" s="2547"/>
      <c r="AX1099" s="1027">
        <v>0</v>
      </c>
      <c r="AY1099" s="2529"/>
      <c r="AZ1099" s="1027">
        <v>0</v>
      </c>
      <c r="BA1099" s="2529"/>
      <c r="BB1099" s="1027">
        <v>0</v>
      </c>
      <c r="BC1099" s="2529"/>
      <c r="BD1099" s="1027">
        <f t="shared" si="296"/>
        <v>661</v>
      </c>
      <c r="BE1099" s="2529"/>
      <c r="BF1099" s="1027">
        <f t="shared" si="297"/>
        <v>2650</v>
      </c>
      <c r="BG1099" s="2529"/>
      <c r="BH1099" s="1027">
        <f t="shared" si="298"/>
        <v>36.226930963773071</v>
      </c>
      <c r="BI1099" s="2532"/>
      <c r="BJ1099" s="1031"/>
      <c r="BL1099" s="1000">
        <f t="shared" si="301"/>
        <v>53.565640194489461</v>
      </c>
    </row>
    <row r="1100" spans="1:64" s="996" customFormat="1" ht="57" customHeight="1">
      <c r="A1100" s="1849"/>
      <c r="B1100" s="1849"/>
      <c r="C1100" s="1827">
        <v>13</v>
      </c>
      <c r="D1100" s="1827">
        <v>1</v>
      </c>
      <c r="E1100" s="1827">
        <v>2</v>
      </c>
      <c r="F1100" s="1827">
        <v>13</v>
      </c>
      <c r="G1100" s="1828">
        <v>22</v>
      </c>
      <c r="H1100" s="1817"/>
      <c r="I1100" s="1850" t="s">
        <v>2503</v>
      </c>
      <c r="J1100" s="1851" t="s">
        <v>2504</v>
      </c>
      <c r="K1100" s="1747"/>
      <c r="L1100" s="1748"/>
      <c r="M1100" s="1749"/>
      <c r="N1100" s="1748"/>
      <c r="O1100" s="1749"/>
      <c r="P1100" s="1748">
        <f>P1101</f>
        <v>30000000</v>
      </c>
      <c r="Q1100" s="1749"/>
      <c r="R1100" s="1748"/>
      <c r="S1100" s="1749"/>
      <c r="T1100" s="1749"/>
      <c r="U1100" s="1749"/>
      <c r="V1100" s="1749"/>
      <c r="W1100" s="1749"/>
      <c r="X1100" s="1749"/>
      <c r="Y1100" s="1749"/>
      <c r="Z1100" s="1748"/>
      <c r="AA1100" s="1749"/>
      <c r="AB1100" s="1748">
        <f>AB1101</f>
        <v>62499600</v>
      </c>
      <c r="AC1100" s="1671"/>
      <c r="AD1100" s="1671"/>
      <c r="AE1100" s="24" t="s">
        <v>2418</v>
      </c>
      <c r="AF1100" s="499"/>
      <c r="AG1100" s="1017"/>
      <c r="AH1100" s="1017"/>
      <c r="AI1100" s="1017"/>
      <c r="AJ1100" s="1017"/>
      <c r="AK1100" s="1017"/>
      <c r="AL1100" s="1017"/>
      <c r="AM1100" s="1017"/>
      <c r="AN1100" s="1016"/>
      <c r="AO1100" s="1017" t="s">
        <v>1333</v>
      </c>
      <c r="AP1100" s="1018">
        <v>1970</v>
      </c>
      <c r="AQ1100" s="2530"/>
      <c r="AR1100" s="1018">
        <v>722.4</v>
      </c>
      <c r="AS1100" s="2530"/>
      <c r="AT1100" s="1018">
        <v>325</v>
      </c>
      <c r="AU1100" s="2530"/>
      <c r="AV1100" s="1018">
        <v>53</v>
      </c>
      <c r="AW1100" s="2518"/>
      <c r="AX1100" s="1027">
        <v>0</v>
      </c>
      <c r="AY1100" s="2530"/>
      <c r="AZ1100" s="1027">
        <v>0</v>
      </c>
      <c r="BA1100" s="2530"/>
      <c r="BB1100" s="1027">
        <v>0</v>
      </c>
      <c r="BC1100" s="2530"/>
      <c r="BD1100" s="1027">
        <f t="shared" si="296"/>
        <v>53</v>
      </c>
      <c r="BE1100" s="2530"/>
      <c r="BF1100" s="1027">
        <f t="shared" si="297"/>
        <v>775.4</v>
      </c>
      <c r="BG1100" s="2530"/>
      <c r="BH1100" s="1027">
        <f t="shared" si="298"/>
        <v>39.360406091370557</v>
      </c>
      <c r="BI1100" s="2533"/>
      <c r="BJ1100" s="1031"/>
      <c r="BL1100" s="1000">
        <f t="shared" si="301"/>
        <v>16.307692307692307</v>
      </c>
    </row>
    <row r="1101" spans="1:64" s="994" customFormat="1" ht="57" customHeight="1">
      <c r="A1101" s="1916"/>
      <c r="B1101" s="1916"/>
      <c r="C1101" s="1840">
        <v>13</v>
      </c>
      <c r="D1101" s="1840">
        <v>1</v>
      </c>
      <c r="E1101" s="1840">
        <v>2</v>
      </c>
      <c r="F1101" s="1840">
        <v>13</v>
      </c>
      <c r="G1101" s="1808">
        <v>22</v>
      </c>
      <c r="H1101" s="754">
        <v>2</v>
      </c>
      <c r="I1101" s="1798" t="s">
        <v>2505</v>
      </c>
      <c r="J1101" s="1852" t="s">
        <v>2506</v>
      </c>
      <c r="K1101" s="1798">
        <v>500</v>
      </c>
      <c r="L1101" s="1853">
        <v>250000000</v>
      </c>
      <c r="M1101" s="1735">
        <v>100</v>
      </c>
      <c r="N1101" s="1736">
        <v>49999600</v>
      </c>
      <c r="O1101" s="1730">
        <v>100</v>
      </c>
      <c r="P1101" s="1731">
        <v>30000000</v>
      </c>
      <c r="Q1101" s="1733">
        <f>'[1]Maret 2018'!$I$174</f>
        <v>8.0157109826662971</v>
      </c>
      <c r="R1101" s="1731">
        <v>12500000</v>
      </c>
      <c r="S1101" s="754"/>
      <c r="T1101" s="754"/>
      <c r="U1101" s="754"/>
      <c r="V1101" s="754"/>
      <c r="W1101" s="754"/>
      <c r="X1101" s="754"/>
      <c r="Y1101" s="1733">
        <f>Q1101</f>
        <v>8.0157109826662971</v>
      </c>
      <c r="Z1101" s="1731">
        <v>12500000</v>
      </c>
      <c r="AA1101" s="1733">
        <f>M1101+Y1101</f>
        <v>108.01571098266629</v>
      </c>
      <c r="AB1101" s="1731">
        <f>N1101+Z1101</f>
        <v>62499600</v>
      </c>
      <c r="AC1101" s="19">
        <f>AA1101/K1101*100</f>
        <v>21.603142196533259</v>
      </c>
      <c r="AD1101" s="19">
        <f>AB1101/L1101*100</f>
        <v>24.999840000000003</v>
      </c>
      <c r="AE1101" s="24" t="s">
        <v>2418</v>
      </c>
      <c r="AF1101" s="512"/>
      <c r="AG1101" s="1028"/>
      <c r="AH1101" s="1028"/>
      <c r="AI1101" s="1028"/>
      <c r="AJ1101" s="1028"/>
      <c r="AK1101" s="1028"/>
      <c r="AL1101" s="1028"/>
      <c r="AM1101" s="1028"/>
      <c r="AN1101" s="1032" t="s">
        <v>1334</v>
      </c>
      <c r="AO1101" s="1028" t="s">
        <v>1335</v>
      </c>
      <c r="AP1101" s="1019">
        <v>23250</v>
      </c>
      <c r="AQ1101" s="1026">
        <v>4573073</v>
      </c>
      <c r="AR1101" s="1028">
        <v>7407</v>
      </c>
      <c r="AS1101" s="1026">
        <v>372540</v>
      </c>
      <c r="AT1101" s="1028">
        <v>82040</v>
      </c>
      <c r="AU1101" s="1026">
        <v>622722</v>
      </c>
      <c r="AV1101" s="1026">
        <v>0</v>
      </c>
      <c r="AW1101" s="1020">
        <v>9046.2000000000007</v>
      </c>
      <c r="AX1101" s="1027">
        <f t="shared" si="293"/>
        <v>0</v>
      </c>
      <c r="AY1101" s="1027">
        <v>0</v>
      </c>
      <c r="AZ1101" s="1027">
        <f t="shared" si="294"/>
        <v>0</v>
      </c>
      <c r="BA1101" s="1027">
        <v>0</v>
      </c>
      <c r="BB1101" s="1027">
        <f t="shared" si="295"/>
        <v>0</v>
      </c>
      <c r="BC1101" s="1027">
        <v>0</v>
      </c>
      <c r="BD1101" s="1027">
        <f t="shared" si="296"/>
        <v>0</v>
      </c>
      <c r="BE1101" s="1027">
        <f t="shared" si="296"/>
        <v>9046.2000000000007</v>
      </c>
      <c r="BF1101" s="1027">
        <f t="shared" si="297"/>
        <v>7407</v>
      </c>
      <c r="BG1101" s="1027">
        <f t="shared" si="297"/>
        <v>381586.2</v>
      </c>
      <c r="BH1101" s="1027">
        <f t="shared" si="298"/>
        <v>31.85806451612903</v>
      </c>
      <c r="BI1101" s="1027">
        <f t="shared" si="298"/>
        <v>8.344196561043308</v>
      </c>
      <c r="BJ1101" s="382"/>
    </row>
    <row r="1102" spans="1:64" s="996" customFormat="1" ht="20.25" customHeight="1">
      <c r="A1102" s="1916"/>
      <c r="B1102" s="1916"/>
      <c r="C1102" s="1916"/>
      <c r="D1102" s="1916"/>
      <c r="E1102" s="1916"/>
      <c r="F1102" s="1916"/>
      <c r="G1102" s="1884"/>
      <c r="H1102" s="1884"/>
      <c r="I1102" s="1884"/>
      <c r="J1102" s="1884"/>
      <c r="K1102" s="1884"/>
      <c r="L1102" s="1884"/>
      <c r="M1102" s="1884"/>
      <c r="N1102" s="2534" t="s">
        <v>2507</v>
      </c>
      <c r="O1102" s="2535"/>
      <c r="P1102" s="2536"/>
      <c r="Q1102" s="2318"/>
      <c r="R1102" s="2319"/>
      <c r="S1102" s="2319"/>
      <c r="T1102" s="2319"/>
      <c r="U1102" s="2319"/>
      <c r="V1102" s="2319"/>
      <c r="W1102" s="2319"/>
      <c r="X1102" s="2319"/>
      <c r="Y1102" s="2319"/>
      <c r="Z1102" s="2319"/>
      <c r="AA1102" s="2319"/>
      <c r="AB1102" s="2320"/>
      <c r="AC1102" s="20" t="e">
        <f>AVERAGE(AC1049:AC1101)</f>
        <v>#REF!</v>
      </c>
      <c r="AD1102" s="20">
        <f>AVERAGE(AD1049:AD1101)</f>
        <v>25.97464975431771</v>
      </c>
      <c r="AE1102" s="21"/>
      <c r="AF1102" s="499"/>
      <c r="AG1102" s="1017"/>
      <c r="AH1102" s="1017"/>
      <c r="AI1102" s="1017"/>
      <c r="AJ1102" s="1017"/>
      <c r="AK1102" s="1017"/>
      <c r="AL1102" s="1017"/>
      <c r="AM1102" s="1017"/>
      <c r="AN1102" s="1022" t="s">
        <v>1336</v>
      </c>
      <c r="AO1102" s="1023" t="s">
        <v>1337</v>
      </c>
      <c r="AP1102" s="1024">
        <v>6</v>
      </c>
      <c r="AQ1102" s="1024">
        <v>1016642</v>
      </c>
      <c r="AR1102" s="1033">
        <v>2</v>
      </c>
      <c r="AS1102" s="1026">
        <v>288962</v>
      </c>
      <c r="AT1102" s="1033">
        <v>1</v>
      </c>
      <c r="AU1102" s="1026">
        <v>195647</v>
      </c>
      <c r="AV1102" s="1027">
        <v>0</v>
      </c>
      <c r="AW1102" s="1020">
        <v>13039.9</v>
      </c>
      <c r="AX1102" s="1027">
        <f t="shared" si="293"/>
        <v>0</v>
      </c>
      <c r="AY1102" s="1027">
        <v>0</v>
      </c>
      <c r="AZ1102" s="1027">
        <f t="shared" si="294"/>
        <v>0</v>
      </c>
      <c r="BA1102" s="1027">
        <v>0</v>
      </c>
      <c r="BB1102" s="1027">
        <f t="shared" si="295"/>
        <v>0</v>
      </c>
      <c r="BC1102" s="1027">
        <v>0</v>
      </c>
      <c r="BD1102" s="1027">
        <f t="shared" si="296"/>
        <v>0</v>
      </c>
      <c r="BE1102" s="1027">
        <f t="shared" si="296"/>
        <v>13039.9</v>
      </c>
      <c r="BF1102" s="1027">
        <f t="shared" si="297"/>
        <v>2</v>
      </c>
      <c r="BG1102" s="1027">
        <f t="shared" si="297"/>
        <v>302001.90000000002</v>
      </c>
      <c r="BH1102" s="1027">
        <f t="shared" si="298"/>
        <v>33.333333333333329</v>
      </c>
      <c r="BI1102" s="1027">
        <f t="shared" si="298"/>
        <v>29.705825649540351</v>
      </c>
      <c r="BJ1102" s="1034"/>
    </row>
    <row r="1103" spans="1:64" s="994" customFormat="1" ht="20.25" customHeight="1">
      <c r="A1103" s="1692"/>
      <c r="B1103" s="1692"/>
      <c r="C1103" s="1692"/>
      <c r="D1103" s="1692"/>
      <c r="E1103" s="1692"/>
      <c r="F1103" s="1692"/>
      <c r="G1103" s="1884"/>
      <c r="H1103" s="1884"/>
      <c r="I1103" s="1884"/>
      <c r="J1103" s="1884"/>
      <c r="K1103" s="1884"/>
      <c r="L1103" s="1884"/>
      <c r="M1103" s="1884"/>
      <c r="N1103" s="2534" t="s">
        <v>1679</v>
      </c>
      <c r="O1103" s="2535"/>
      <c r="P1103" s="2536"/>
      <c r="Q1103" s="2318"/>
      <c r="R1103" s="2319"/>
      <c r="S1103" s="2319"/>
      <c r="T1103" s="2319"/>
      <c r="U1103" s="2319"/>
      <c r="V1103" s="2319"/>
      <c r="W1103" s="2319"/>
      <c r="X1103" s="2319"/>
      <c r="Y1103" s="2319"/>
      <c r="Z1103" s="2319"/>
      <c r="AA1103" s="2319"/>
      <c r="AB1103" s="2320"/>
      <c r="AC1103" s="22" t="e">
        <f>IF(AC1102&gt;=45,"ST",IF(AC1102&gt;=38,"T",IF(AC1102&gt;=32,"S",IF(AC1102&gt;=25,"R","SR"))))</f>
        <v>#REF!</v>
      </c>
      <c r="AD1103" s="22" t="str">
        <f>IF(AD1102&gt;=45,"ST",IF(AD1102&gt;=38,"T",IF(AD1102&gt;=32,"S",IF(AD1102&gt;=25,"R","SR"))))</f>
        <v>R</v>
      </c>
      <c r="AE1103" s="21"/>
      <c r="AF1103" s="512"/>
      <c r="AG1103" s="1028"/>
      <c r="AH1103" s="1028"/>
      <c r="AI1103" s="1028"/>
      <c r="AJ1103" s="1028"/>
      <c r="AK1103" s="1028"/>
      <c r="AL1103" s="1028"/>
      <c r="AM1103" s="1028"/>
      <c r="AN1103" s="1022" t="s">
        <v>1338</v>
      </c>
      <c r="AO1103" s="1028" t="s">
        <v>1339</v>
      </c>
      <c r="AP1103" s="1028">
        <v>15</v>
      </c>
      <c r="AQ1103" s="1026">
        <v>651000</v>
      </c>
      <c r="AR1103" s="1019">
        <v>15</v>
      </c>
      <c r="AS1103" s="1019">
        <v>249321</v>
      </c>
      <c r="AT1103" s="1028">
        <v>15</v>
      </c>
      <c r="AU1103" s="1026">
        <v>147579</v>
      </c>
      <c r="AV1103" s="1027">
        <v>0</v>
      </c>
      <c r="AW1103" s="1020">
        <v>7000</v>
      </c>
      <c r="AX1103" s="1027">
        <f t="shared" si="293"/>
        <v>0</v>
      </c>
      <c r="AY1103" s="1027">
        <v>0</v>
      </c>
      <c r="AZ1103" s="1027">
        <f t="shared" si="294"/>
        <v>0</v>
      </c>
      <c r="BA1103" s="1027">
        <v>0</v>
      </c>
      <c r="BB1103" s="1027">
        <f t="shared" si="295"/>
        <v>0</v>
      </c>
      <c r="BC1103" s="1027">
        <v>0</v>
      </c>
      <c r="BD1103" s="1027">
        <f t="shared" si="296"/>
        <v>0</v>
      </c>
      <c r="BE1103" s="1027">
        <f t="shared" si="296"/>
        <v>7000</v>
      </c>
      <c r="BF1103" s="1027">
        <f t="shared" si="297"/>
        <v>15</v>
      </c>
      <c r="BG1103" s="1027">
        <f t="shared" si="297"/>
        <v>256321</v>
      </c>
      <c r="BH1103" s="1027">
        <f t="shared" si="298"/>
        <v>100</v>
      </c>
      <c r="BI1103" s="1027">
        <f t="shared" si="298"/>
        <v>39.373425499231949</v>
      </c>
      <c r="BJ1103" s="382"/>
    </row>
    <row r="1104" spans="1:64" s="994" customFormat="1" ht="20.25" customHeight="1">
      <c r="A1104" s="1854"/>
      <c r="B1104" s="1854"/>
      <c r="C1104" s="1854"/>
      <c r="D1104" s="1854"/>
      <c r="E1104" s="1854"/>
      <c r="F1104" s="1854"/>
      <c r="G1104" s="1885"/>
      <c r="H1104" s="1885"/>
      <c r="I1104" s="1885"/>
      <c r="J1104" s="1885"/>
      <c r="K1104" s="1885"/>
      <c r="L1104" s="2553" t="s">
        <v>2508</v>
      </c>
      <c r="M1104" s="2554"/>
      <c r="N1104" s="2554"/>
      <c r="O1104" s="2555"/>
      <c r="P1104" s="1112">
        <f>P1100+P1095+P1089+P1083+P1079+P1073+P1066+P1049+P1062</f>
        <v>8000474997</v>
      </c>
      <c r="Q1104" s="2556"/>
      <c r="R1104" s="2556"/>
      <c r="S1104" s="2556"/>
      <c r="T1104" s="2556"/>
      <c r="U1104" s="2556"/>
      <c r="V1104" s="2556"/>
      <c r="W1104" s="2556"/>
      <c r="X1104" s="2556"/>
      <c r="Y1104" s="2556"/>
      <c r="Z1104" s="2556"/>
      <c r="AA1104" s="2556"/>
      <c r="AB1104" s="1112">
        <f>AB1100+AB1095+AB1089+AB1083+AB1079+AB1073+AB1066+AB1049+AB1062</f>
        <v>6734193477</v>
      </c>
      <c r="AC1104" s="31"/>
      <c r="AD1104" s="31"/>
      <c r="AE1104" s="31"/>
      <c r="AF1104" s="512"/>
      <c r="AG1104" s="1028"/>
      <c r="AH1104" s="1028"/>
      <c r="AI1104" s="1028"/>
      <c r="AJ1104" s="1028"/>
      <c r="AK1104" s="1028"/>
      <c r="AL1104" s="1028"/>
      <c r="AM1104" s="1028"/>
      <c r="AN1104" s="1022" t="s">
        <v>1340</v>
      </c>
      <c r="AO1104" s="1028" t="s">
        <v>1341</v>
      </c>
      <c r="AP1104" s="1028">
        <v>10</v>
      </c>
      <c r="AQ1104" s="1026">
        <v>1231119</v>
      </c>
      <c r="AR1104" s="1020">
        <v>2</v>
      </c>
      <c r="AS1104" s="1026">
        <v>232176</v>
      </c>
      <c r="AT1104" s="1028">
        <v>4</v>
      </c>
      <c r="AU1104" s="1026">
        <v>387027</v>
      </c>
      <c r="AV1104" s="1027">
        <v>0</v>
      </c>
      <c r="AW1104" s="1020">
        <v>6335</v>
      </c>
      <c r="AX1104" s="1027">
        <f t="shared" si="293"/>
        <v>0</v>
      </c>
      <c r="AY1104" s="1027">
        <v>0</v>
      </c>
      <c r="AZ1104" s="1027">
        <f t="shared" si="294"/>
        <v>0</v>
      </c>
      <c r="BA1104" s="1027">
        <v>0</v>
      </c>
      <c r="BB1104" s="1027">
        <f t="shared" si="295"/>
        <v>0</v>
      </c>
      <c r="BC1104" s="1027">
        <v>0</v>
      </c>
      <c r="BD1104" s="1027">
        <f t="shared" si="296"/>
        <v>0</v>
      </c>
      <c r="BE1104" s="1027">
        <f t="shared" si="296"/>
        <v>6335</v>
      </c>
      <c r="BF1104" s="1027">
        <f t="shared" si="297"/>
        <v>2</v>
      </c>
      <c r="BG1104" s="1027">
        <f t="shared" si="297"/>
        <v>238511</v>
      </c>
      <c r="BH1104" s="1027">
        <f t="shared" si="298"/>
        <v>20</v>
      </c>
      <c r="BI1104" s="1027">
        <f t="shared" si="298"/>
        <v>19.373513039763012</v>
      </c>
      <c r="BJ1104" s="1035"/>
    </row>
    <row r="1105" spans="1:62" s="996" customFormat="1" ht="20.25" customHeight="1">
      <c r="A1105" s="2557" t="s">
        <v>2509</v>
      </c>
      <c r="B1105" s="2558"/>
      <c r="C1105" s="2558"/>
      <c r="D1105" s="2558"/>
      <c r="E1105" s="2558"/>
      <c r="F1105" s="2558"/>
      <c r="G1105" s="2558"/>
      <c r="H1105" s="2558"/>
      <c r="I1105" s="2558"/>
      <c r="J1105" s="2558"/>
      <c r="K1105" s="2558"/>
      <c r="L1105" s="2558"/>
      <c r="M1105" s="2558"/>
      <c r="N1105" s="2558"/>
      <c r="O1105" s="2558"/>
      <c r="P1105" s="2558"/>
      <c r="Q1105" s="2558"/>
      <c r="R1105" s="2558"/>
      <c r="S1105" s="2558"/>
      <c r="T1105" s="2558"/>
      <c r="U1105" s="2558"/>
      <c r="V1105" s="2558"/>
      <c r="W1105" s="2558"/>
      <c r="X1105" s="2558"/>
      <c r="Y1105" s="2558"/>
      <c r="Z1105" s="2558"/>
      <c r="AA1105" s="2558"/>
      <c r="AB1105" s="2559"/>
      <c r="AC1105" s="32">
        <f>AVERAGE(AD1067:AD1101)</f>
        <v>17.276253739600879</v>
      </c>
      <c r="AD1105" s="32">
        <f>(AB1104/P1104)*100</f>
        <v>84.172420756582227</v>
      </c>
      <c r="AE1105" s="31"/>
      <c r="AF1105" s="499"/>
      <c r="AG1105" s="1017"/>
      <c r="AH1105" s="1017"/>
      <c r="AI1105" s="1017"/>
      <c r="AJ1105" s="1017"/>
      <c r="AK1105" s="1017"/>
      <c r="AL1105" s="1017"/>
      <c r="AM1105" s="1017"/>
      <c r="AN1105" s="1022" t="s">
        <v>1342</v>
      </c>
      <c r="AO1105" s="1028" t="s">
        <v>1343</v>
      </c>
      <c r="AP1105" s="1028">
        <v>145</v>
      </c>
      <c r="AQ1105" s="1026">
        <v>2341856</v>
      </c>
      <c r="AR1105" s="1020">
        <v>125</v>
      </c>
      <c r="AS1105" s="1026">
        <v>640563</v>
      </c>
      <c r="AT1105" s="1028">
        <v>25</v>
      </c>
      <c r="AU1105" s="1026">
        <v>314562</v>
      </c>
      <c r="AV1105" s="1027">
        <v>0</v>
      </c>
      <c r="AW1105" s="1020">
        <v>4481.3999999999996</v>
      </c>
      <c r="AX1105" s="1027">
        <f t="shared" si="293"/>
        <v>0</v>
      </c>
      <c r="AY1105" s="1027">
        <v>0</v>
      </c>
      <c r="AZ1105" s="1027">
        <f t="shared" si="294"/>
        <v>0</v>
      </c>
      <c r="BA1105" s="1027">
        <v>0</v>
      </c>
      <c r="BB1105" s="1027">
        <f t="shared" si="295"/>
        <v>0</v>
      </c>
      <c r="BC1105" s="1027">
        <v>0</v>
      </c>
      <c r="BD1105" s="1027">
        <f t="shared" si="296"/>
        <v>0</v>
      </c>
      <c r="BE1105" s="1027">
        <f t="shared" si="296"/>
        <v>4481.3999999999996</v>
      </c>
      <c r="BF1105" s="1027">
        <f t="shared" si="297"/>
        <v>125</v>
      </c>
      <c r="BG1105" s="1027">
        <f t="shared" si="297"/>
        <v>645044.4</v>
      </c>
      <c r="BH1105" s="1027">
        <f t="shared" si="298"/>
        <v>86.206896551724128</v>
      </c>
      <c r="BI1105" s="1027">
        <f t="shared" si="298"/>
        <v>27.544153013678041</v>
      </c>
      <c r="BJ1105" s="1034"/>
    </row>
    <row r="1106" spans="1:62" s="994" customFormat="1" ht="15.75" customHeight="1">
      <c r="A1106" s="2557" t="s">
        <v>102</v>
      </c>
      <c r="B1106" s="2558"/>
      <c r="C1106" s="2558"/>
      <c r="D1106" s="2558"/>
      <c r="E1106" s="2558"/>
      <c r="F1106" s="2558"/>
      <c r="G1106" s="2558"/>
      <c r="H1106" s="2558"/>
      <c r="I1106" s="2558"/>
      <c r="J1106" s="2558"/>
      <c r="K1106" s="2558"/>
      <c r="L1106" s="2558"/>
      <c r="M1106" s="2558"/>
      <c r="N1106" s="2558"/>
      <c r="O1106" s="2558"/>
      <c r="P1106" s="2558"/>
      <c r="Q1106" s="2558"/>
      <c r="R1106" s="2558"/>
      <c r="S1106" s="2558"/>
      <c r="T1106" s="2558"/>
      <c r="U1106" s="2558"/>
      <c r="V1106" s="2558"/>
      <c r="W1106" s="2558"/>
      <c r="X1106" s="2558"/>
      <c r="Y1106" s="2558"/>
      <c r="Z1106" s="2558"/>
      <c r="AA1106" s="2558"/>
      <c r="AB1106" s="2559"/>
      <c r="AC1106" s="1920" t="str">
        <f t="shared" ref="AC1106:AD1106" si="304">IF(AC1105&gt;=45,"ST",IF(AC1105&gt;=38,"T",IF(AC1105&gt;=32,"S",IF(AC1105&gt;=25,"R","SR"))))</f>
        <v>SR</v>
      </c>
      <c r="AD1106" s="1920" t="str">
        <f t="shared" si="304"/>
        <v>ST</v>
      </c>
      <c r="AE1106" s="31"/>
      <c r="AF1106" s="512"/>
      <c r="AG1106" s="1028"/>
      <c r="AH1106" s="1028"/>
      <c r="AI1106" s="1028"/>
      <c r="AJ1106" s="1028"/>
      <c r="AK1106" s="1028"/>
      <c r="AL1106" s="1028"/>
      <c r="AM1106" s="1028"/>
      <c r="AN1106" s="1022" t="s">
        <v>1344</v>
      </c>
      <c r="AO1106" s="1028" t="s">
        <v>1345</v>
      </c>
      <c r="AP1106" s="1028">
        <v>16</v>
      </c>
      <c r="AQ1106" s="1026">
        <v>113765</v>
      </c>
      <c r="AR1106" s="1020">
        <v>8</v>
      </c>
      <c r="AS1106" s="1026">
        <v>54004</v>
      </c>
      <c r="AT1106" s="1028">
        <v>0</v>
      </c>
      <c r="AU1106" s="1026">
        <v>0</v>
      </c>
      <c r="AV1106" s="1027">
        <v>0</v>
      </c>
      <c r="AW1106" s="1020">
        <v>4893.6000000000004</v>
      </c>
      <c r="AX1106" s="1027">
        <f t="shared" si="293"/>
        <v>0</v>
      </c>
      <c r="AY1106" s="1027">
        <v>0</v>
      </c>
      <c r="AZ1106" s="1027">
        <f t="shared" si="294"/>
        <v>0</v>
      </c>
      <c r="BA1106" s="1027">
        <v>0</v>
      </c>
      <c r="BB1106" s="1027">
        <f t="shared" si="295"/>
        <v>0</v>
      </c>
      <c r="BC1106" s="1027">
        <v>0</v>
      </c>
      <c r="BD1106" s="1027">
        <f t="shared" si="296"/>
        <v>0</v>
      </c>
      <c r="BE1106" s="1027">
        <f t="shared" si="296"/>
        <v>4893.6000000000004</v>
      </c>
      <c r="BF1106" s="1027">
        <f t="shared" si="297"/>
        <v>8</v>
      </c>
      <c r="BG1106" s="1027">
        <f t="shared" si="297"/>
        <v>58897.599999999999</v>
      </c>
      <c r="BH1106" s="1027">
        <f t="shared" si="298"/>
        <v>50</v>
      </c>
      <c r="BI1106" s="1027">
        <f t="shared" si="298"/>
        <v>51.771282907748429</v>
      </c>
      <c r="BJ1106" s="1035"/>
    </row>
    <row r="1107" spans="1:62" s="994" customFormat="1" ht="42" customHeight="1">
      <c r="A1107" s="512"/>
      <c r="B1107" s="1028"/>
      <c r="C1107" s="1028"/>
      <c r="D1107" s="1028"/>
      <c r="E1107" s="1028"/>
      <c r="F1107" s="1028"/>
      <c r="G1107" s="1028"/>
      <c r="H1107" s="1028"/>
      <c r="I1107" s="1022" t="s">
        <v>1346</v>
      </c>
      <c r="J1107" s="1028" t="s">
        <v>1347</v>
      </c>
      <c r="K1107" s="1028">
        <v>15</v>
      </c>
      <c r="L1107" s="1026">
        <v>2295690</v>
      </c>
      <c r="M1107" s="1020">
        <v>4</v>
      </c>
      <c r="N1107" s="1026">
        <v>532998</v>
      </c>
      <c r="O1107" s="1028">
        <v>2</v>
      </c>
      <c r="P1107" s="1026">
        <v>343819</v>
      </c>
      <c r="Q1107" s="1027">
        <v>0</v>
      </c>
      <c r="R1107" s="1020">
        <v>0</v>
      </c>
      <c r="S1107" s="1027">
        <f t="shared" si="293"/>
        <v>0</v>
      </c>
      <c r="T1107" s="1027">
        <v>0</v>
      </c>
      <c r="U1107" s="1027">
        <f t="shared" si="294"/>
        <v>0</v>
      </c>
      <c r="V1107" s="1027">
        <v>0</v>
      </c>
      <c r="W1107" s="1027">
        <f t="shared" si="295"/>
        <v>0</v>
      </c>
      <c r="X1107" s="1027">
        <v>0</v>
      </c>
      <c r="Y1107" s="1027">
        <f t="shared" ref="Y1107:Z1138" si="305">Q1107</f>
        <v>0</v>
      </c>
      <c r="Z1107" s="1027">
        <f t="shared" si="305"/>
        <v>0</v>
      </c>
      <c r="AA1107" s="1027">
        <f t="shared" ref="AA1107:AB1138" si="306">M1107+Y1107</f>
        <v>4</v>
      </c>
      <c r="AB1107" s="1027">
        <f t="shared" si="306"/>
        <v>532998</v>
      </c>
      <c r="AC1107" s="1027">
        <f t="shared" ref="AC1107:AD1138" si="307">AA1107/K1107*100</f>
        <v>26.666666666666668</v>
      </c>
      <c r="AD1107" s="1027">
        <f t="shared" si="307"/>
        <v>23.21733335075729</v>
      </c>
      <c r="AE1107" s="382"/>
    </row>
    <row r="1108" spans="1:62" s="994" customFormat="1" ht="43.5" customHeight="1">
      <c r="A1108" s="512"/>
      <c r="B1108" s="1028"/>
      <c r="C1108" s="1028"/>
      <c r="D1108" s="1028"/>
      <c r="E1108" s="1028"/>
      <c r="F1108" s="1028"/>
      <c r="G1108" s="1028"/>
      <c r="H1108" s="1028"/>
      <c r="I1108" s="1022" t="s">
        <v>1348</v>
      </c>
      <c r="J1108" s="1028" t="s">
        <v>1349</v>
      </c>
      <c r="K1108" s="1020">
        <v>60</v>
      </c>
      <c r="L1108" s="1026">
        <v>276655</v>
      </c>
      <c r="M1108" s="1020">
        <v>11</v>
      </c>
      <c r="N1108" s="1026">
        <v>161181</v>
      </c>
      <c r="O1108" s="1020">
        <v>1</v>
      </c>
      <c r="P1108" s="1026">
        <v>50310</v>
      </c>
      <c r="Q1108" s="1027">
        <v>0</v>
      </c>
      <c r="R1108" s="1020">
        <v>525</v>
      </c>
      <c r="S1108" s="1027">
        <f t="shared" si="293"/>
        <v>0</v>
      </c>
      <c r="T1108" s="1027">
        <v>0</v>
      </c>
      <c r="U1108" s="1027">
        <f t="shared" si="294"/>
        <v>0</v>
      </c>
      <c r="V1108" s="1027">
        <v>0</v>
      </c>
      <c r="W1108" s="1027">
        <f t="shared" si="295"/>
        <v>0</v>
      </c>
      <c r="X1108" s="1027">
        <v>0</v>
      </c>
      <c r="Y1108" s="1027">
        <f t="shared" si="305"/>
        <v>0</v>
      </c>
      <c r="Z1108" s="1027">
        <f t="shared" si="305"/>
        <v>525</v>
      </c>
      <c r="AA1108" s="1027">
        <f t="shared" si="306"/>
        <v>11</v>
      </c>
      <c r="AB1108" s="1027">
        <f t="shared" si="306"/>
        <v>161706</v>
      </c>
      <c r="AC1108" s="1027">
        <f t="shared" si="307"/>
        <v>18.333333333333332</v>
      </c>
      <c r="AD1108" s="1027">
        <f t="shared" si="307"/>
        <v>58.450416583831846</v>
      </c>
      <c r="AE1108" s="1035"/>
    </row>
    <row r="1109" spans="1:62" s="994" customFormat="1" ht="69" customHeight="1">
      <c r="A1109" s="512"/>
      <c r="B1109" s="1028"/>
      <c r="C1109" s="1028"/>
      <c r="D1109" s="1028"/>
      <c r="E1109" s="1028"/>
      <c r="F1109" s="1028"/>
      <c r="G1109" s="1028"/>
      <c r="H1109" s="1028"/>
      <c r="I1109" s="1022" t="s">
        <v>1350</v>
      </c>
      <c r="J1109" s="1028" t="s">
        <v>1351</v>
      </c>
      <c r="K1109" s="1028">
        <v>140</v>
      </c>
      <c r="L1109" s="1026">
        <v>1969770</v>
      </c>
      <c r="M1109" s="1020">
        <v>65</v>
      </c>
      <c r="N1109" s="1026">
        <v>416676</v>
      </c>
      <c r="O1109" s="1028">
        <v>25</v>
      </c>
      <c r="P1109" s="1026">
        <v>124570.8</v>
      </c>
      <c r="Q1109" s="1027">
        <v>0</v>
      </c>
      <c r="R1109" s="1020">
        <v>3206.2</v>
      </c>
      <c r="S1109" s="1027">
        <f t="shared" si="293"/>
        <v>0</v>
      </c>
      <c r="T1109" s="1027">
        <v>0</v>
      </c>
      <c r="U1109" s="1027">
        <f t="shared" si="294"/>
        <v>0</v>
      </c>
      <c r="V1109" s="1027">
        <v>0</v>
      </c>
      <c r="W1109" s="1027">
        <f t="shared" si="295"/>
        <v>0</v>
      </c>
      <c r="X1109" s="1027">
        <v>0</v>
      </c>
      <c r="Y1109" s="1027">
        <f t="shared" si="305"/>
        <v>0</v>
      </c>
      <c r="Z1109" s="1027">
        <f t="shared" si="305"/>
        <v>3206.2</v>
      </c>
      <c r="AA1109" s="1027">
        <f t="shared" si="306"/>
        <v>65</v>
      </c>
      <c r="AB1109" s="1027">
        <f t="shared" si="306"/>
        <v>419882.2</v>
      </c>
      <c r="AC1109" s="1027">
        <f t="shared" si="307"/>
        <v>46.428571428571431</v>
      </c>
      <c r="AD1109" s="1027">
        <f t="shared" si="307"/>
        <v>21.316305964655772</v>
      </c>
      <c r="AE1109" s="382"/>
    </row>
    <row r="1110" spans="1:62" s="994" customFormat="1" ht="57" customHeight="1">
      <c r="A1110" s="512"/>
      <c r="B1110" s="1028"/>
      <c r="C1110" s="1028"/>
      <c r="D1110" s="1028"/>
      <c r="E1110" s="1028"/>
      <c r="F1110" s="1028"/>
      <c r="G1110" s="1028"/>
      <c r="H1110" s="1028"/>
      <c r="I1110" s="1022" t="s">
        <v>1352</v>
      </c>
      <c r="J1110" s="1028" t="s">
        <v>1353</v>
      </c>
      <c r="K1110" s="1028">
        <v>90</v>
      </c>
      <c r="L1110" s="1026">
        <v>750377</v>
      </c>
      <c r="M1110" s="1028">
        <v>24</v>
      </c>
      <c r="N1110" s="1026">
        <v>230717.9</v>
      </c>
      <c r="O1110" s="1028">
        <v>15</v>
      </c>
      <c r="P1110" s="1026">
        <v>155015</v>
      </c>
      <c r="Q1110" s="1027">
        <v>0</v>
      </c>
      <c r="R1110" s="1020">
        <v>18345</v>
      </c>
      <c r="S1110" s="1027">
        <f t="shared" si="293"/>
        <v>0</v>
      </c>
      <c r="T1110" s="1027">
        <v>0</v>
      </c>
      <c r="U1110" s="1027">
        <f t="shared" si="294"/>
        <v>0</v>
      </c>
      <c r="V1110" s="1027">
        <v>0</v>
      </c>
      <c r="W1110" s="1027">
        <f t="shared" si="295"/>
        <v>0</v>
      </c>
      <c r="X1110" s="1027">
        <v>0</v>
      </c>
      <c r="Y1110" s="1027">
        <f t="shared" si="305"/>
        <v>0</v>
      </c>
      <c r="Z1110" s="1027">
        <f t="shared" si="305"/>
        <v>18345</v>
      </c>
      <c r="AA1110" s="1027">
        <f t="shared" si="306"/>
        <v>24</v>
      </c>
      <c r="AB1110" s="1027">
        <f t="shared" si="306"/>
        <v>249062.9</v>
      </c>
      <c r="AC1110" s="1027">
        <f t="shared" si="307"/>
        <v>26.666666666666668</v>
      </c>
      <c r="AD1110" s="1027">
        <f t="shared" si="307"/>
        <v>33.191702304308365</v>
      </c>
      <c r="AE1110" s="1035"/>
    </row>
    <row r="1111" spans="1:62" s="996" customFormat="1" ht="57" customHeight="1">
      <c r="A1111" s="499"/>
      <c r="B1111" s="1017"/>
      <c r="C1111" s="1017"/>
      <c r="D1111" s="1017"/>
      <c r="E1111" s="1017"/>
      <c r="F1111" s="1017"/>
      <c r="G1111" s="1017"/>
      <c r="H1111" s="1017"/>
      <c r="I1111" s="1022" t="s">
        <v>1354</v>
      </c>
      <c r="J1111" s="1023" t="s">
        <v>1355</v>
      </c>
      <c r="K1111" s="1024">
        <v>40</v>
      </c>
      <c r="L1111" s="1024">
        <v>342046</v>
      </c>
      <c r="M1111" s="1036">
        <v>0</v>
      </c>
      <c r="N1111" s="1026">
        <v>0</v>
      </c>
      <c r="O1111" s="1020">
        <v>2</v>
      </c>
      <c r="P1111" s="1037">
        <v>92229</v>
      </c>
      <c r="Q1111" s="1027">
        <v>0</v>
      </c>
      <c r="R1111" s="1020">
        <v>9516.2000000000007</v>
      </c>
      <c r="S1111" s="1027">
        <f t="shared" si="293"/>
        <v>0</v>
      </c>
      <c r="T1111" s="1027">
        <v>0</v>
      </c>
      <c r="U1111" s="1027">
        <f t="shared" si="294"/>
        <v>0</v>
      </c>
      <c r="V1111" s="1027">
        <v>0</v>
      </c>
      <c r="W1111" s="1027">
        <f t="shared" si="295"/>
        <v>0</v>
      </c>
      <c r="X1111" s="1027">
        <v>0</v>
      </c>
      <c r="Y1111" s="1027">
        <f t="shared" si="305"/>
        <v>0</v>
      </c>
      <c r="Z1111" s="1027">
        <f t="shared" si="305"/>
        <v>9516.2000000000007</v>
      </c>
      <c r="AA1111" s="1027">
        <f t="shared" si="306"/>
        <v>0</v>
      </c>
      <c r="AB1111" s="1027">
        <f t="shared" si="306"/>
        <v>9516.2000000000007</v>
      </c>
      <c r="AC1111" s="1027">
        <f t="shared" si="307"/>
        <v>0</v>
      </c>
      <c r="AD1111" s="1027">
        <f t="shared" si="307"/>
        <v>2.782140413862463</v>
      </c>
      <c r="AE1111" s="1031"/>
    </row>
    <row r="1112" spans="1:62" s="994" customFormat="1" ht="57" customHeight="1">
      <c r="A1112" s="512"/>
      <c r="B1112" s="1028"/>
      <c r="C1112" s="1028"/>
      <c r="D1112" s="1028"/>
      <c r="E1112" s="1028"/>
      <c r="F1112" s="1028"/>
      <c r="G1112" s="1028"/>
      <c r="H1112" s="1028"/>
      <c r="I1112" s="1028" t="s">
        <v>1356</v>
      </c>
      <c r="J1112" s="1023" t="s">
        <v>1357</v>
      </c>
      <c r="K1112" s="1024">
        <v>60</v>
      </c>
      <c r="L1112" s="1024">
        <v>415837</v>
      </c>
      <c r="M1112" s="1038">
        <v>12</v>
      </c>
      <c r="N1112" s="1026">
        <v>36905</v>
      </c>
      <c r="O1112" s="1020">
        <v>12</v>
      </c>
      <c r="P1112" s="1026">
        <v>213675</v>
      </c>
      <c r="Q1112" s="1027">
        <v>0</v>
      </c>
      <c r="R1112" s="1020">
        <v>35845.699999999997</v>
      </c>
      <c r="S1112" s="1027">
        <f t="shared" si="293"/>
        <v>0</v>
      </c>
      <c r="T1112" s="1027">
        <v>0</v>
      </c>
      <c r="U1112" s="1027">
        <f t="shared" si="294"/>
        <v>0</v>
      </c>
      <c r="V1112" s="1027">
        <v>0</v>
      </c>
      <c r="W1112" s="1027">
        <f t="shared" si="295"/>
        <v>0</v>
      </c>
      <c r="X1112" s="1027">
        <v>0</v>
      </c>
      <c r="Y1112" s="1027">
        <f t="shared" si="305"/>
        <v>0</v>
      </c>
      <c r="Z1112" s="1027">
        <f t="shared" si="305"/>
        <v>35845.699999999997</v>
      </c>
      <c r="AA1112" s="1027">
        <f t="shared" si="306"/>
        <v>12</v>
      </c>
      <c r="AB1112" s="1027">
        <f t="shared" si="306"/>
        <v>72750.7</v>
      </c>
      <c r="AC1112" s="1027">
        <f t="shared" si="307"/>
        <v>20</v>
      </c>
      <c r="AD1112" s="1027">
        <f t="shared" si="307"/>
        <v>17.495004052068477</v>
      </c>
      <c r="AE1112" s="382"/>
    </row>
    <row r="1113" spans="1:62" s="994" customFormat="1" ht="57" customHeight="1">
      <c r="A1113" s="512"/>
      <c r="B1113" s="1028"/>
      <c r="C1113" s="1028"/>
      <c r="D1113" s="1028"/>
      <c r="E1113" s="1028"/>
      <c r="F1113" s="1028"/>
      <c r="G1113" s="1028"/>
      <c r="H1113" s="1028"/>
      <c r="I1113" s="1028" t="s">
        <v>1358</v>
      </c>
      <c r="J1113" s="1023" t="s">
        <v>1359</v>
      </c>
      <c r="K1113" s="1024">
        <v>720</v>
      </c>
      <c r="L1113" s="1024">
        <v>6009136</v>
      </c>
      <c r="M1113" s="1038">
        <v>0</v>
      </c>
      <c r="N1113" s="1026">
        <v>0</v>
      </c>
      <c r="O1113" s="1020">
        <v>0</v>
      </c>
      <c r="P1113" s="1026">
        <v>0</v>
      </c>
      <c r="Q1113" s="1027">
        <v>0</v>
      </c>
      <c r="R1113" s="1020">
        <v>0</v>
      </c>
      <c r="S1113" s="1027">
        <f t="shared" si="293"/>
        <v>0</v>
      </c>
      <c r="T1113" s="1027">
        <v>0</v>
      </c>
      <c r="U1113" s="1027">
        <f t="shared" si="294"/>
        <v>0</v>
      </c>
      <c r="V1113" s="1027">
        <v>0</v>
      </c>
      <c r="W1113" s="1027">
        <f t="shared" si="295"/>
        <v>0</v>
      </c>
      <c r="X1113" s="1027">
        <v>0</v>
      </c>
      <c r="Y1113" s="1027">
        <f t="shared" si="305"/>
        <v>0</v>
      </c>
      <c r="Z1113" s="1027">
        <f t="shared" si="305"/>
        <v>0</v>
      </c>
      <c r="AA1113" s="1027">
        <f t="shared" si="306"/>
        <v>0</v>
      </c>
      <c r="AB1113" s="1027">
        <f t="shared" si="306"/>
        <v>0</v>
      </c>
      <c r="AC1113" s="1027">
        <f t="shared" si="307"/>
        <v>0</v>
      </c>
      <c r="AD1113" s="1027">
        <f t="shared" si="307"/>
        <v>0</v>
      </c>
      <c r="AE1113" s="382"/>
    </row>
    <row r="1114" spans="1:62" s="994" customFormat="1" ht="57" customHeight="1">
      <c r="A1114" s="512"/>
      <c r="B1114" s="1028"/>
      <c r="C1114" s="1028"/>
      <c r="D1114" s="1028"/>
      <c r="E1114" s="1028"/>
      <c r="F1114" s="1028"/>
      <c r="G1114" s="1028"/>
      <c r="H1114" s="1028"/>
      <c r="I1114" s="1017" t="s">
        <v>1360</v>
      </c>
      <c r="J1114" s="584" t="s">
        <v>1361</v>
      </c>
      <c r="K1114" s="1036">
        <v>0.10299999999999999</v>
      </c>
      <c r="L1114" s="2548">
        <f>SUM(L1116:L1117)</f>
        <v>6072687</v>
      </c>
      <c r="M1114" s="1039">
        <v>9.7000000000000003E-2</v>
      </c>
      <c r="N1114" s="2548">
        <f>SUM(N1116:N1117)</f>
        <v>387967</v>
      </c>
      <c r="O1114" s="1040">
        <v>0.10299999999999999</v>
      </c>
      <c r="P1114" s="2548">
        <f>SUM(P1116:P1117)</f>
        <v>560307</v>
      </c>
      <c r="Q1114" s="1027">
        <v>0</v>
      </c>
      <c r="R1114" s="2548">
        <f>SUM(R1116:R1117)</f>
        <v>75927.600000000006</v>
      </c>
      <c r="S1114" s="1027">
        <f>Q1114</f>
        <v>0</v>
      </c>
      <c r="T1114" s="2548">
        <f>SUM(T1116:T1117)</f>
        <v>0</v>
      </c>
      <c r="U1114" s="1027">
        <f>Q1114+S1114</f>
        <v>0</v>
      </c>
      <c r="V1114" s="2548">
        <f>SUM(V1116:V1117)</f>
        <v>0</v>
      </c>
      <c r="W1114" s="1027">
        <f>Q1114+S1114+U1114</f>
        <v>0</v>
      </c>
      <c r="X1114" s="2548">
        <f>SUM(X1116:X1117)</f>
        <v>0</v>
      </c>
      <c r="Y1114" s="1027">
        <f>Q1114</f>
        <v>0</v>
      </c>
      <c r="Z1114" s="2528">
        <f>R1114</f>
        <v>75927.600000000006</v>
      </c>
      <c r="AA1114" s="1027">
        <f>M1114+Y1114</f>
        <v>9.7000000000000003E-2</v>
      </c>
      <c r="AB1114" s="2528">
        <f>N1114+Z1114</f>
        <v>463894.6</v>
      </c>
      <c r="AC1114" s="1027">
        <f>AA1114/K1114*100</f>
        <v>94.174757281553397</v>
      </c>
      <c r="AD1114" s="2528">
        <f>AB1114/L1114*100</f>
        <v>7.6390335941898533</v>
      </c>
      <c r="AE1114" s="382"/>
      <c r="AG1114" s="995">
        <f>(SUM(AG1115:AG1116)/2)*100%</f>
        <v>0</v>
      </c>
    </row>
    <row r="1115" spans="1:62" s="994" customFormat="1" ht="57" customHeight="1">
      <c r="A1115" s="512"/>
      <c r="B1115" s="1028"/>
      <c r="C1115" s="1028"/>
      <c r="D1115" s="1028"/>
      <c r="E1115" s="1028"/>
      <c r="F1115" s="1028"/>
      <c r="G1115" s="1028"/>
      <c r="H1115" s="1028"/>
      <c r="I1115" s="1017"/>
      <c r="J1115" s="584" t="s">
        <v>1362</v>
      </c>
      <c r="K1115" s="1024">
        <v>10</v>
      </c>
      <c r="L1115" s="2549"/>
      <c r="M1115" s="1038">
        <v>4</v>
      </c>
      <c r="N1115" s="2549"/>
      <c r="O1115" s="1020">
        <v>2</v>
      </c>
      <c r="P1115" s="2549"/>
      <c r="Q1115" s="1027">
        <v>0</v>
      </c>
      <c r="R1115" s="2549"/>
      <c r="S1115" s="1027">
        <f t="shared" si="293"/>
        <v>0</v>
      </c>
      <c r="T1115" s="2549"/>
      <c r="U1115" s="1027">
        <f t="shared" si="294"/>
        <v>0</v>
      </c>
      <c r="V1115" s="2549"/>
      <c r="W1115" s="1027">
        <f t="shared" si="295"/>
        <v>0</v>
      </c>
      <c r="X1115" s="2549"/>
      <c r="Y1115" s="1027">
        <f t="shared" si="305"/>
        <v>0</v>
      </c>
      <c r="Z1115" s="2530"/>
      <c r="AA1115" s="1027">
        <f>M1115+Y1115</f>
        <v>4</v>
      </c>
      <c r="AB1115" s="2530"/>
      <c r="AC1115" s="1027">
        <f>AA1115/K1115*100</f>
        <v>40</v>
      </c>
      <c r="AD1115" s="2530"/>
      <c r="AE1115" s="382"/>
      <c r="AG1115" s="994">
        <f>Q1114/O1114*100</f>
        <v>0</v>
      </c>
    </row>
    <row r="1116" spans="1:62" s="994" customFormat="1" ht="57" customHeight="1">
      <c r="A1116" s="512"/>
      <c r="B1116" s="1028"/>
      <c r="C1116" s="1028"/>
      <c r="D1116" s="1028"/>
      <c r="E1116" s="1028"/>
      <c r="F1116" s="1028"/>
      <c r="G1116" s="1028"/>
      <c r="H1116" s="1028"/>
      <c r="I1116" s="1028" t="s">
        <v>1363</v>
      </c>
      <c r="J1116" s="1023" t="s">
        <v>1364</v>
      </c>
      <c r="K1116" s="1024">
        <v>780</v>
      </c>
      <c r="L1116" s="1024">
        <v>5358687</v>
      </c>
      <c r="M1116" s="1038">
        <v>156</v>
      </c>
      <c r="N1116" s="1026">
        <v>310710</v>
      </c>
      <c r="O1116" s="1020">
        <v>156</v>
      </c>
      <c r="P1116" s="1026">
        <v>517182</v>
      </c>
      <c r="Q1116" s="1027">
        <v>0</v>
      </c>
      <c r="R1116" s="1020">
        <v>75927.600000000006</v>
      </c>
      <c r="S1116" s="1027">
        <f t="shared" si="293"/>
        <v>0</v>
      </c>
      <c r="T1116" s="1027">
        <v>0</v>
      </c>
      <c r="U1116" s="1027">
        <f t="shared" si="294"/>
        <v>0</v>
      </c>
      <c r="V1116" s="1027">
        <v>0</v>
      </c>
      <c r="W1116" s="1027">
        <f t="shared" si="295"/>
        <v>0</v>
      </c>
      <c r="X1116" s="1027">
        <v>0</v>
      </c>
      <c r="Y1116" s="1027">
        <f t="shared" si="305"/>
        <v>0</v>
      </c>
      <c r="Z1116" s="1027">
        <f t="shared" si="305"/>
        <v>75927.600000000006</v>
      </c>
      <c r="AA1116" s="1027">
        <f t="shared" si="306"/>
        <v>156</v>
      </c>
      <c r="AB1116" s="1027">
        <f t="shared" si="306"/>
        <v>386637.6</v>
      </c>
      <c r="AC1116" s="1027">
        <f t="shared" si="307"/>
        <v>20</v>
      </c>
      <c r="AD1116" s="1027">
        <f t="shared" si="307"/>
        <v>7.2151555035776482</v>
      </c>
      <c r="AE1116" s="382"/>
      <c r="AG1116" s="994">
        <f>Q1115/O1115*100</f>
        <v>0</v>
      </c>
    </row>
    <row r="1117" spans="1:62" s="994" customFormat="1" ht="57" customHeight="1">
      <c r="A1117" s="512"/>
      <c r="B1117" s="1028"/>
      <c r="C1117" s="1028"/>
      <c r="D1117" s="1028"/>
      <c r="E1117" s="1028"/>
      <c r="F1117" s="1028"/>
      <c r="G1117" s="1028"/>
      <c r="H1117" s="1028"/>
      <c r="I1117" s="1028" t="s">
        <v>1365</v>
      </c>
      <c r="J1117" s="1023" t="s">
        <v>1366</v>
      </c>
      <c r="K1117" s="1024">
        <v>64</v>
      </c>
      <c r="L1117" s="1024">
        <v>714000</v>
      </c>
      <c r="M1117" s="1038">
        <v>16</v>
      </c>
      <c r="N1117" s="1026">
        <v>77257</v>
      </c>
      <c r="O1117" s="1020">
        <v>16</v>
      </c>
      <c r="P1117" s="1026">
        <v>43125</v>
      </c>
      <c r="Q1117" s="1027">
        <v>0</v>
      </c>
      <c r="R1117" s="1020">
        <v>0</v>
      </c>
      <c r="S1117" s="1027">
        <f t="shared" si="293"/>
        <v>0</v>
      </c>
      <c r="T1117" s="1027">
        <v>0</v>
      </c>
      <c r="U1117" s="1027">
        <f t="shared" si="294"/>
        <v>0</v>
      </c>
      <c r="V1117" s="1027">
        <v>0</v>
      </c>
      <c r="W1117" s="1027">
        <f t="shared" si="295"/>
        <v>0</v>
      </c>
      <c r="X1117" s="1027">
        <v>0</v>
      </c>
      <c r="Y1117" s="1027">
        <f t="shared" si="305"/>
        <v>0</v>
      </c>
      <c r="Z1117" s="1027">
        <f t="shared" si="305"/>
        <v>0</v>
      </c>
      <c r="AA1117" s="1027">
        <f t="shared" si="306"/>
        <v>16</v>
      </c>
      <c r="AB1117" s="1027">
        <f>N1117+Z1117</f>
        <v>77257</v>
      </c>
      <c r="AC1117" s="1027">
        <f t="shared" si="307"/>
        <v>25</v>
      </c>
      <c r="AD1117" s="1027">
        <f t="shared" si="307"/>
        <v>10.820308123249301</v>
      </c>
      <c r="AE1117" s="382"/>
    </row>
    <row r="1118" spans="1:62" s="994" customFormat="1" ht="57" customHeight="1">
      <c r="A1118" s="512"/>
      <c r="B1118" s="1028"/>
      <c r="C1118" s="1028"/>
      <c r="D1118" s="1028"/>
      <c r="E1118" s="1028"/>
      <c r="F1118" s="1028"/>
      <c r="G1118" s="1028"/>
      <c r="H1118" s="1028"/>
      <c r="I1118" s="1017" t="s">
        <v>1367</v>
      </c>
      <c r="J1118" s="584" t="s">
        <v>1368</v>
      </c>
      <c r="K1118" s="1024">
        <v>6</v>
      </c>
      <c r="L1118" s="2548">
        <f>SUM(L1121:L1123)</f>
        <v>1404994</v>
      </c>
      <c r="M1118" s="1038">
        <v>2</v>
      </c>
      <c r="N1118" s="2548">
        <f>SUM(N1121:N1123)</f>
        <v>226411</v>
      </c>
      <c r="O1118" s="1020">
        <v>1</v>
      </c>
      <c r="P1118" s="2548">
        <f>SUM(P1121:P1123)</f>
        <v>399032</v>
      </c>
      <c r="Q1118" s="1027">
        <v>0</v>
      </c>
      <c r="R1118" s="2551">
        <v>0</v>
      </c>
      <c r="S1118" s="1027">
        <f>Q1118</f>
        <v>0</v>
      </c>
      <c r="T1118" s="2528">
        <v>0</v>
      </c>
      <c r="U1118" s="1027">
        <f>Q1118+S1118</f>
        <v>0</v>
      </c>
      <c r="V1118" s="2528">
        <v>0</v>
      </c>
      <c r="W1118" s="1027">
        <f>Q1118+S1118+U1118</f>
        <v>0</v>
      </c>
      <c r="X1118" s="2528">
        <v>0</v>
      </c>
      <c r="Y1118" s="1027">
        <f>Q1118</f>
        <v>0</v>
      </c>
      <c r="Z1118" s="2528">
        <f>R1118</f>
        <v>0</v>
      </c>
      <c r="AA1118" s="1027">
        <f>M1118+Y1118</f>
        <v>2</v>
      </c>
      <c r="AB1118" s="2528">
        <f>N1118+Z1118</f>
        <v>226411</v>
      </c>
      <c r="AC1118" s="1027">
        <f>AA1118/K1118*100</f>
        <v>33.333333333333329</v>
      </c>
      <c r="AD1118" s="2528">
        <f>AB1118/L1118*100</f>
        <v>16.114730739063653</v>
      </c>
      <c r="AE1118" s="382"/>
      <c r="AG1118" s="994">
        <f>Q1118/O1118*100</f>
        <v>0</v>
      </c>
      <c r="AI1118" s="994">
        <f>SUM(AG1118:AG1120)/3*100%</f>
        <v>0</v>
      </c>
    </row>
    <row r="1119" spans="1:62" s="994" customFormat="1" ht="57" customHeight="1">
      <c r="A1119" s="512"/>
      <c r="B1119" s="1028"/>
      <c r="C1119" s="1028"/>
      <c r="D1119" s="1028"/>
      <c r="E1119" s="1028"/>
      <c r="F1119" s="1028"/>
      <c r="G1119" s="1028"/>
      <c r="H1119" s="1028"/>
      <c r="I1119" s="1017"/>
      <c r="J1119" s="584" t="s">
        <v>1369</v>
      </c>
      <c r="K1119" s="1024">
        <v>7</v>
      </c>
      <c r="L1119" s="2550"/>
      <c r="M1119" s="1038">
        <v>3</v>
      </c>
      <c r="N1119" s="2550"/>
      <c r="O1119" s="1020">
        <v>1</v>
      </c>
      <c r="P1119" s="2550"/>
      <c r="Q1119" s="1027">
        <v>0</v>
      </c>
      <c r="R1119" s="2552"/>
      <c r="S1119" s="1027">
        <f>Q1119</f>
        <v>0</v>
      </c>
      <c r="T1119" s="2529"/>
      <c r="U1119" s="1027">
        <f>Q1119+S1119</f>
        <v>0</v>
      </c>
      <c r="V1119" s="2529"/>
      <c r="W1119" s="1027">
        <f>Q1119+S1119+U1119</f>
        <v>0</v>
      </c>
      <c r="X1119" s="2529"/>
      <c r="Y1119" s="1027">
        <f>Q1119</f>
        <v>0</v>
      </c>
      <c r="Z1119" s="2529"/>
      <c r="AA1119" s="1027">
        <f>M1119+Y1119</f>
        <v>3</v>
      </c>
      <c r="AB1119" s="2529"/>
      <c r="AC1119" s="1027">
        <f>AA1119/K1119*100</f>
        <v>42.857142857142854</v>
      </c>
      <c r="AD1119" s="2529"/>
      <c r="AE1119" s="382"/>
      <c r="AG1119" s="994">
        <f>Q1119/O1119*100</f>
        <v>0</v>
      </c>
    </row>
    <row r="1120" spans="1:62" s="994" customFormat="1" ht="30" customHeight="1">
      <c r="A1120" s="512"/>
      <c r="B1120" s="1028"/>
      <c r="C1120" s="1028"/>
      <c r="D1120" s="1028"/>
      <c r="E1120" s="1028"/>
      <c r="F1120" s="1028"/>
      <c r="G1120" s="1028"/>
      <c r="H1120" s="1028"/>
      <c r="I1120" s="1017"/>
      <c r="J1120" s="584" t="s">
        <v>1370</v>
      </c>
      <c r="K1120" s="1024">
        <v>5</v>
      </c>
      <c r="L1120" s="2549"/>
      <c r="M1120" s="1038">
        <v>1</v>
      </c>
      <c r="N1120" s="2549"/>
      <c r="O1120" s="1020">
        <v>1</v>
      </c>
      <c r="P1120" s="2549"/>
      <c r="Q1120" s="1027">
        <v>0</v>
      </c>
      <c r="R1120" s="2538"/>
      <c r="S1120" s="1027">
        <f t="shared" si="293"/>
        <v>0</v>
      </c>
      <c r="T1120" s="2530"/>
      <c r="U1120" s="1027">
        <f t="shared" si="294"/>
        <v>0</v>
      </c>
      <c r="V1120" s="2530"/>
      <c r="W1120" s="1027">
        <f t="shared" si="295"/>
        <v>0</v>
      </c>
      <c r="X1120" s="2530"/>
      <c r="Y1120" s="1027">
        <f t="shared" si="305"/>
        <v>0</v>
      </c>
      <c r="Z1120" s="2530"/>
      <c r="AA1120" s="1027">
        <f>M1120+Y1120</f>
        <v>1</v>
      </c>
      <c r="AB1120" s="2530"/>
      <c r="AC1120" s="1027">
        <f>AA1120/K1120*100</f>
        <v>20</v>
      </c>
      <c r="AD1120" s="2530"/>
      <c r="AE1120" s="382"/>
      <c r="AG1120" s="994">
        <f>Q1120/O1120*100</f>
        <v>0</v>
      </c>
    </row>
    <row r="1121" spans="1:37" s="994" customFormat="1" ht="33.75" customHeight="1">
      <c r="A1121" s="512"/>
      <c r="B1121" s="1028"/>
      <c r="C1121" s="1028"/>
      <c r="D1121" s="1028"/>
      <c r="E1121" s="1028"/>
      <c r="F1121" s="1028"/>
      <c r="G1121" s="1028"/>
      <c r="H1121" s="1028"/>
      <c r="I1121" s="1028" t="s">
        <v>1371</v>
      </c>
      <c r="J1121" s="1023" t="s">
        <v>1372</v>
      </c>
      <c r="K1121" s="1024">
        <v>145</v>
      </c>
      <c r="L1121" s="1024">
        <v>210390</v>
      </c>
      <c r="M1121" s="1038">
        <v>145</v>
      </c>
      <c r="N1121" s="1026">
        <v>98984</v>
      </c>
      <c r="O1121" s="1020">
        <v>145</v>
      </c>
      <c r="P1121" s="1026">
        <v>116040</v>
      </c>
      <c r="Q1121" s="1027">
        <v>0</v>
      </c>
      <c r="R1121" s="1020">
        <v>16248.2</v>
      </c>
      <c r="S1121" s="1027">
        <f t="shared" si="293"/>
        <v>0</v>
      </c>
      <c r="T1121" s="1027">
        <v>0</v>
      </c>
      <c r="U1121" s="1027">
        <f t="shared" si="294"/>
        <v>0</v>
      </c>
      <c r="V1121" s="1027">
        <v>0</v>
      </c>
      <c r="W1121" s="1027">
        <f t="shared" si="295"/>
        <v>0</v>
      </c>
      <c r="X1121" s="1027">
        <v>0</v>
      </c>
      <c r="Y1121" s="1027">
        <f t="shared" si="305"/>
        <v>0</v>
      </c>
      <c r="Z1121" s="1027">
        <f t="shared" si="305"/>
        <v>16248.2</v>
      </c>
      <c r="AA1121" s="1027">
        <f t="shared" si="306"/>
        <v>145</v>
      </c>
      <c r="AB1121" s="1027">
        <f t="shared" si="306"/>
        <v>115232.2</v>
      </c>
      <c r="AC1121" s="1027">
        <f t="shared" si="307"/>
        <v>100</v>
      </c>
      <c r="AD1121" s="1027">
        <f t="shared" si="307"/>
        <v>54.770759066495557</v>
      </c>
      <c r="AE1121" s="382"/>
    </row>
    <row r="1122" spans="1:37" s="994" customFormat="1" ht="45.75" customHeight="1">
      <c r="A1122" s="512"/>
      <c r="B1122" s="1028"/>
      <c r="C1122" s="1028"/>
      <c r="D1122" s="1028"/>
      <c r="E1122" s="1028"/>
      <c r="F1122" s="1028"/>
      <c r="G1122" s="1028"/>
      <c r="H1122" s="1028"/>
      <c r="I1122" s="1028" t="s">
        <v>1373</v>
      </c>
      <c r="J1122" s="1023" t="s">
        <v>1374</v>
      </c>
      <c r="K1122" s="1024">
        <v>465</v>
      </c>
      <c r="L1122" s="1024">
        <v>813146</v>
      </c>
      <c r="M1122" s="1038">
        <v>50</v>
      </c>
      <c r="N1122" s="1026">
        <v>93633</v>
      </c>
      <c r="O1122" s="1020">
        <v>115</v>
      </c>
      <c r="P1122" s="1026">
        <v>246496</v>
      </c>
      <c r="Q1122" s="1027">
        <v>0</v>
      </c>
      <c r="R1122" s="1020">
        <v>24988.7</v>
      </c>
      <c r="S1122" s="1027">
        <f t="shared" si="293"/>
        <v>0</v>
      </c>
      <c r="T1122" s="1027">
        <v>0</v>
      </c>
      <c r="U1122" s="1027">
        <f t="shared" si="294"/>
        <v>0</v>
      </c>
      <c r="V1122" s="1027">
        <v>0</v>
      </c>
      <c r="W1122" s="1027">
        <f t="shared" si="295"/>
        <v>0</v>
      </c>
      <c r="X1122" s="1027">
        <v>0</v>
      </c>
      <c r="Y1122" s="1027">
        <f t="shared" si="305"/>
        <v>0</v>
      </c>
      <c r="Z1122" s="1027">
        <f t="shared" si="305"/>
        <v>24988.7</v>
      </c>
      <c r="AA1122" s="1027">
        <f t="shared" si="306"/>
        <v>50</v>
      </c>
      <c r="AB1122" s="1027">
        <f t="shared" si="306"/>
        <v>118621.7</v>
      </c>
      <c r="AC1122" s="1027">
        <f t="shared" si="307"/>
        <v>10.75268817204301</v>
      </c>
      <c r="AD1122" s="1027">
        <f t="shared" si="307"/>
        <v>14.587995267762494</v>
      </c>
      <c r="AE1122" s="382"/>
    </row>
    <row r="1123" spans="1:37" s="994" customFormat="1" ht="57" customHeight="1">
      <c r="A1123" s="512"/>
      <c r="B1123" s="1028"/>
      <c r="C1123" s="1028"/>
      <c r="D1123" s="1028"/>
      <c r="E1123" s="1028"/>
      <c r="F1123" s="1028"/>
      <c r="G1123" s="1028"/>
      <c r="H1123" s="1028"/>
      <c r="I1123" s="1028" t="s">
        <v>1375</v>
      </c>
      <c r="J1123" s="1023" t="s">
        <v>1376</v>
      </c>
      <c r="K1123" s="1024">
        <v>10600</v>
      </c>
      <c r="L1123" s="1024">
        <v>381458</v>
      </c>
      <c r="M1123" s="1038">
        <v>168</v>
      </c>
      <c r="N1123" s="1026">
        <v>33794</v>
      </c>
      <c r="O1123" s="1020">
        <v>2000</v>
      </c>
      <c r="P1123" s="1026">
        <v>36496</v>
      </c>
      <c r="Q1123" s="1027">
        <v>0</v>
      </c>
      <c r="R1123" s="1020">
        <v>2000</v>
      </c>
      <c r="S1123" s="1027">
        <f t="shared" si="293"/>
        <v>0</v>
      </c>
      <c r="T1123" s="1027">
        <v>0</v>
      </c>
      <c r="U1123" s="1027">
        <f t="shared" si="294"/>
        <v>0</v>
      </c>
      <c r="V1123" s="1027">
        <v>0</v>
      </c>
      <c r="W1123" s="1027">
        <f t="shared" si="295"/>
        <v>0</v>
      </c>
      <c r="X1123" s="1027">
        <v>0</v>
      </c>
      <c r="Y1123" s="1027">
        <f t="shared" si="305"/>
        <v>0</v>
      </c>
      <c r="Z1123" s="1027">
        <f t="shared" si="305"/>
        <v>2000</v>
      </c>
      <c r="AA1123" s="1027">
        <f t="shared" si="306"/>
        <v>168</v>
      </c>
      <c r="AB1123" s="1027">
        <f t="shared" si="306"/>
        <v>35794</v>
      </c>
      <c r="AC1123" s="1027">
        <f t="shared" si="307"/>
        <v>1.5849056603773584</v>
      </c>
      <c r="AD1123" s="1027">
        <f t="shared" si="307"/>
        <v>9.3834707883961013</v>
      </c>
      <c r="AE1123" s="382"/>
    </row>
    <row r="1124" spans="1:37" s="994" customFormat="1" ht="72.75" customHeight="1">
      <c r="A1124" s="512"/>
      <c r="B1124" s="1017" t="s">
        <v>1377</v>
      </c>
      <c r="C1124" s="1017"/>
      <c r="D1124" s="1017"/>
      <c r="E1124" s="1017"/>
      <c r="F1124" s="1017"/>
      <c r="G1124" s="1017"/>
      <c r="H1124" s="1017"/>
      <c r="I1124" s="1017" t="s">
        <v>1378</v>
      </c>
      <c r="J1124" s="1026" t="s">
        <v>1379</v>
      </c>
      <c r="K1124" s="1026">
        <v>6</v>
      </c>
      <c r="L1124" s="2564">
        <f>SUM(L1127:L1133)</f>
        <v>3299958</v>
      </c>
      <c r="M1124" s="1026">
        <v>2</v>
      </c>
      <c r="N1124" s="2564">
        <f>SUM(N1127:N1133)</f>
        <v>421180</v>
      </c>
      <c r="O1124" s="1020">
        <v>3</v>
      </c>
      <c r="P1124" s="2564">
        <f>SUM(P1127:P1133)</f>
        <v>914978</v>
      </c>
      <c r="Q1124" s="1027"/>
      <c r="R1124" s="2564">
        <f>SUM(R1127:R1133)</f>
        <v>27570.799999999999</v>
      </c>
      <c r="S1124" s="1027">
        <f t="shared" si="293"/>
        <v>0</v>
      </c>
      <c r="T1124" s="2564">
        <f>SUM(T1127:T1133)</f>
        <v>0</v>
      </c>
      <c r="U1124" s="1027">
        <f t="shared" si="294"/>
        <v>0</v>
      </c>
      <c r="V1124" s="2564">
        <f>SUM(V1127:V1133)</f>
        <v>0</v>
      </c>
      <c r="W1124" s="1027">
        <f t="shared" si="295"/>
        <v>0</v>
      </c>
      <c r="X1124" s="2564">
        <f>SUM(X1127:X1133)</f>
        <v>0</v>
      </c>
      <c r="Y1124" s="1027">
        <f t="shared" si="305"/>
        <v>0</v>
      </c>
      <c r="Z1124" s="2528">
        <f t="shared" si="305"/>
        <v>27570.799999999999</v>
      </c>
      <c r="AA1124" s="1027">
        <f t="shared" si="306"/>
        <v>2</v>
      </c>
      <c r="AB1124" s="2528">
        <f>Z1124+N1124</f>
        <v>448750.8</v>
      </c>
      <c r="AC1124" s="1027">
        <f t="shared" si="307"/>
        <v>33.333333333333329</v>
      </c>
      <c r="AD1124" s="2528">
        <f t="shared" si="307"/>
        <v>13.598682165045735</v>
      </c>
      <c r="AE1124" s="382"/>
      <c r="AG1124" s="995">
        <f>Q1124/O1124*100</f>
        <v>0</v>
      </c>
      <c r="AH1124" s="995">
        <f>SUM(AG1124:AG1126)/3*100%</f>
        <v>0</v>
      </c>
    </row>
    <row r="1125" spans="1:37" s="994" customFormat="1" ht="72.75" customHeight="1">
      <c r="A1125" s="512"/>
      <c r="B1125" s="1017"/>
      <c r="C1125" s="1017"/>
      <c r="D1125" s="1017"/>
      <c r="E1125" s="1017"/>
      <c r="F1125" s="1017"/>
      <c r="G1125" s="1017"/>
      <c r="H1125" s="1017"/>
      <c r="I1125" s="1017"/>
      <c r="J1125" s="1026" t="s">
        <v>1380</v>
      </c>
      <c r="K1125" s="1026">
        <v>5</v>
      </c>
      <c r="L1125" s="2565"/>
      <c r="M1125" s="1026">
        <v>4</v>
      </c>
      <c r="N1125" s="2565"/>
      <c r="O1125" s="1020">
        <v>5</v>
      </c>
      <c r="P1125" s="2565"/>
      <c r="Q1125" s="1027"/>
      <c r="R1125" s="2565"/>
      <c r="S1125" s="1027"/>
      <c r="T1125" s="2565"/>
      <c r="U1125" s="1027"/>
      <c r="V1125" s="2565"/>
      <c r="W1125" s="1027"/>
      <c r="X1125" s="2565"/>
      <c r="Y1125" s="1027"/>
      <c r="Z1125" s="2529"/>
      <c r="AA1125" s="1027">
        <f t="shared" si="306"/>
        <v>4</v>
      </c>
      <c r="AB1125" s="2529"/>
      <c r="AC1125" s="1027">
        <f t="shared" si="307"/>
        <v>80</v>
      </c>
      <c r="AD1125" s="2529"/>
      <c r="AE1125" s="382"/>
      <c r="AG1125" s="995">
        <f>Q1125/O1125*100</f>
        <v>0</v>
      </c>
    </row>
    <row r="1126" spans="1:37" s="994" customFormat="1" ht="72.75" customHeight="1">
      <c r="A1126" s="512"/>
      <c r="B1126" s="1017"/>
      <c r="C1126" s="1017"/>
      <c r="D1126" s="1017"/>
      <c r="E1126" s="1017"/>
      <c r="F1126" s="1017"/>
      <c r="G1126" s="1017"/>
      <c r="H1126" s="1017"/>
      <c r="I1126" s="1017"/>
      <c r="J1126" s="1026" t="s">
        <v>1381</v>
      </c>
      <c r="K1126" s="1026">
        <v>2</v>
      </c>
      <c r="L1126" s="2540"/>
      <c r="M1126" s="1026">
        <v>0</v>
      </c>
      <c r="N1126" s="2540"/>
      <c r="O1126" s="1020">
        <v>2</v>
      </c>
      <c r="P1126" s="2540"/>
      <c r="Q1126" s="1027"/>
      <c r="R1126" s="2540"/>
      <c r="S1126" s="1027"/>
      <c r="T1126" s="2540"/>
      <c r="U1126" s="1027"/>
      <c r="V1126" s="2540"/>
      <c r="W1126" s="1027"/>
      <c r="X1126" s="2540"/>
      <c r="Y1126" s="1027"/>
      <c r="Z1126" s="2530"/>
      <c r="AA1126" s="1027">
        <f t="shared" si="306"/>
        <v>0</v>
      </c>
      <c r="AB1126" s="2530"/>
      <c r="AC1126" s="1027">
        <f t="shared" si="307"/>
        <v>0</v>
      </c>
      <c r="AD1126" s="2530"/>
      <c r="AE1126" s="382"/>
      <c r="AG1126" s="995">
        <f>Q1126/O1126*100</f>
        <v>0</v>
      </c>
    </row>
    <row r="1127" spans="1:37" s="994" customFormat="1" ht="57" customHeight="1">
      <c r="A1127" s="512"/>
      <c r="B1127" s="1028"/>
      <c r="C1127" s="1028"/>
      <c r="D1127" s="1028"/>
      <c r="E1127" s="1028"/>
      <c r="F1127" s="1028"/>
      <c r="G1127" s="1028"/>
      <c r="H1127" s="1028"/>
      <c r="I1127" s="1022" t="s">
        <v>1382</v>
      </c>
      <c r="J1127" s="1028" t="s">
        <v>1383</v>
      </c>
      <c r="K1127" s="1028">
        <v>2</v>
      </c>
      <c r="L1127" s="1026">
        <v>1276126</v>
      </c>
      <c r="M1127" s="1020">
        <v>1</v>
      </c>
      <c r="N1127" s="1026">
        <v>99826</v>
      </c>
      <c r="O1127" s="1028">
        <v>1</v>
      </c>
      <c r="P1127" s="1026">
        <v>482127</v>
      </c>
      <c r="Q1127" s="1027">
        <v>0</v>
      </c>
      <c r="R1127" s="1020">
        <v>15368.7</v>
      </c>
      <c r="S1127" s="1027">
        <f t="shared" si="293"/>
        <v>0</v>
      </c>
      <c r="T1127" s="1027">
        <v>0</v>
      </c>
      <c r="U1127" s="1027">
        <f t="shared" si="294"/>
        <v>0</v>
      </c>
      <c r="V1127" s="1027">
        <v>0</v>
      </c>
      <c r="W1127" s="1027">
        <f t="shared" si="295"/>
        <v>0</v>
      </c>
      <c r="X1127" s="1027">
        <v>0</v>
      </c>
      <c r="Y1127" s="1027">
        <f t="shared" si="305"/>
        <v>0</v>
      </c>
      <c r="Z1127" s="1027">
        <f t="shared" si="305"/>
        <v>15368.7</v>
      </c>
      <c r="AA1127" s="1027">
        <f t="shared" si="306"/>
        <v>1</v>
      </c>
      <c r="AB1127" s="1027">
        <f t="shared" si="306"/>
        <v>115194.7</v>
      </c>
      <c r="AC1127" s="1027">
        <f t="shared" si="307"/>
        <v>50</v>
      </c>
      <c r="AD1127" s="1027">
        <f t="shared" si="307"/>
        <v>9.0269064340041663</v>
      </c>
      <c r="AE1127" s="1041"/>
      <c r="AG1127" s="1001"/>
    </row>
    <row r="1128" spans="1:37" s="994" customFormat="1" ht="57" customHeight="1">
      <c r="A1128" s="512"/>
      <c r="B1128" s="1028"/>
      <c r="C1128" s="1028"/>
      <c r="D1128" s="1028"/>
      <c r="E1128" s="1028"/>
      <c r="F1128" s="1028"/>
      <c r="G1128" s="1028"/>
      <c r="H1128" s="1028"/>
      <c r="I1128" s="1022" t="s">
        <v>1384</v>
      </c>
      <c r="J1128" s="1028" t="s">
        <v>1385</v>
      </c>
      <c r="K1128" s="1028">
        <v>30</v>
      </c>
      <c r="L1128" s="1026">
        <v>323920</v>
      </c>
      <c r="M1128" s="1020">
        <v>6</v>
      </c>
      <c r="N1128" s="1026">
        <v>216899</v>
      </c>
      <c r="O1128" s="1028">
        <v>3</v>
      </c>
      <c r="P1128" s="1026">
        <v>50752</v>
      </c>
      <c r="Q1128" s="1027">
        <v>0</v>
      </c>
      <c r="R1128" s="1020">
        <v>1904.8</v>
      </c>
      <c r="S1128" s="1027">
        <f t="shared" si="293"/>
        <v>0</v>
      </c>
      <c r="T1128" s="1027">
        <v>0</v>
      </c>
      <c r="U1128" s="1027">
        <f t="shared" si="294"/>
        <v>0</v>
      </c>
      <c r="V1128" s="1027">
        <v>0</v>
      </c>
      <c r="W1128" s="1027">
        <f t="shared" si="295"/>
        <v>0</v>
      </c>
      <c r="X1128" s="1027">
        <v>0</v>
      </c>
      <c r="Y1128" s="1027">
        <f t="shared" si="305"/>
        <v>0</v>
      </c>
      <c r="Z1128" s="1027">
        <f t="shared" si="305"/>
        <v>1904.8</v>
      </c>
      <c r="AA1128" s="1027">
        <f t="shared" si="306"/>
        <v>6</v>
      </c>
      <c r="AB1128" s="1027">
        <f t="shared" si="306"/>
        <v>218803.8</v>
      </c>
      <c r="AC1128" s="1027">
        <f t="shared" si="307"/>
        <v>20</v>
      </c>
      <c r="AD1128" s="1027">
        <f t="shared" si="307"/>
        <v>67.548715732279575</v>
      </c>
      <c r="AE1128" s="1030"/>
      <c r="AF1128" s="1002"/>
      <c r="AG1128" s="1002"/>
      <c r="AH1128" s="1002"/>
    </row>
    <row r="1129" spans="1:37" s="994" customFormat="1" ht="57" customHeight="1">
      <c r="A1129" s="512"/>
      <c r="B1129" s="1028"/>
      <c r="C1129" s="1028"/>
      <c r="D1129" s="1028"/>
      <c r="E1129" s="1028"/>
      <c r="F1129" s="1028"/>
      <c r="G1129" s="1028"/>
      <c r="H1129" s="1028"/>
      <c r="I1129" s="1022" t="s">
        <v>1386</v>
      </c>
      <c r="J1129" s="1028" t="s">
        <v>1387</v>
      </c>
      <c r="K1129" s="1020">
        <v>16</v>
      </c>
      <c r="L1129" s="1026">
        <v>153810</v>
      </c>
      <c r="M1129" s="1020">
        <v>8</v>
      </c>
      <c r="N1129" s="1026">
        <v>70820</v>
      </c>
      <c r="O1129" s="1020">
        <v>5</v>
      </c>
      <c r="P1129" s="1026">
        <v>61252</v>
      </c>
      <c r="Q1129" s="1027">
        <v>0</v>
      </c>
      <c r="R1129" s="1020">
        <v>2479.3000000000002</v>
      </c>
      <c r="S1129" s="1027">
        <f t="shared" si="293"/>
        <v>0</v>
      </c>
      <c r="T1129" s="1027">
        <v>0</v>
      </c>
      <c r="U1129" s="1027">
        <f t="shared" si="294"/>
        <v>0</v>
      </c>
      <c r="V1129" s="1027">
        <v>0</v>
      </c>
      <c r="W1129" s="1027">
        <f t="shared" si="295"/>
        <v>0</v>
      </c>
      <c r="X1129" s="1027">
        <v>0</v>
      </c>
      <c r="Y1129" s="1027">
        <f t="shared" si="305"/>
        <v>0</v>
      </c>
      <c r="Z1129" s="1027">
        <f t="shared" si="305"/>
        <v>2479.3000000000002</v>
      </c>
      <c r="AA1129" s="1027">
        <f t="shared" si="306"/>
        <v>8</v>
      </c>
      <c r="AB1129" s="1027">
        <f t="shared" si="306"/>
        <v>73299.3</v>
      </c>
      <c r="AC1129" s="1027">
        <f t="shared" si="307"/>
        <v>50</v>
      </c>
      <c r="AD1129" s="1027">
        <f t="shared" si="307"/>
        <v>47.655744099863469</v>
      </c>
      <c r="AE1129" s="1035"/>
    </row>
    <row r="1130" spans="1:37" s="994" customFormat="1" ht="57" customHeight="1">
      <c r="A1130" s="512"/>
      <c r="B1130" s="1042"/>
      <c r="C1130" s="1042"/>
      <c r="D1130" s="1042"/>
      <c r="E1130" s="1042"/>
      <c r="F1130" s="1042"/>
      <c r="G1130" s="1042"/>
      <c r="H1130" s="1042"/>
      <c r="I1130" s="1043" t="s">
        <v>1388</v>
      </c>
      <c r="J1130" s="1042" t="s">
        <v>1389</v>
      </c>
      <c r="K1130" s="1044">
        <v>12</v>
      </c>
      <c r="L1130" s="1045">
        <v>208902</v>
      </c>
      <c r="M1130" s="1044">
        <v>3</v>
      </c>
      <c r="N1130" s="1045">
        <v>33635</v>
      </c>
      <c r="O1130" s="1044">
        <v>3</v>
      </c>
      <c r="P1130" s="1045">
        <v>42057</v>
      </c>
      <c r="Q1130" s="1027">
        <v>0</v>
      </c>
      <c r="R1130" s="1044">
        <v>0</v>
      </c>
      <c r="S1130" s="1027">
        <f t="shared" si="293"/>
        <v>0</v>
      </c>
      <c r="T1130" s="1027">
        <v>0</v>
      </c>
      <c r="U1130" s="1027">
        <f t="shared" si="294"/>
        <v>0</v>
      </c>
      <c r="V1130" s="1027">
        <v>0</v>
      </c>
      <c r="W1130" s="1027">
        <f t="shared" si="295"/>
        <v>0</v>
      </c>
      <c r="X1130" s="1027">
        <v>0</v>
      </c>
      <c r="Y1130" s="1027">
        <f t="shared" si="305"/>
        <v>0</v>
      </c>
      <c r="Z1130" s="1027">
        <f t="shared" si="305"/>
        <v>0</v>
      </c>
      <c r="AA1130" s="1027">
        <f t="shared" si="306"/>
        <v>3</v>
      </c>
      <c r="AB1130" s="1027">
        <f t="shared" si="306"/>
        <v>33635</v>
      </c>
      <c r="AC1130" s="1027">
        <f t="shared" si="307"/>
        <v>25</v>
      </c>
      <c r="AD1130" s="1027">
        <f t="shared" si="307"/>
        <v>16.100851116791606</v>
      </c>
      <c r="AE1130" s="1046"/>
      <c r="AF1130" s="1002"/>
      <c r="AG1130" s="1002"/>
      <c r="AH1130" s="1002"/>
    </row>
    <row r="1131" spans="1:37" s="994" customFormat="1" ht="84" customHeight="1">
      <c r="A1131" s="512"/>
      <c r="B1131" s="1028"/>
      <c r="C1131" s="1028"/>
      <c r="D1131" s="1028"/>
      <c r="E1131" s="1028"/>
      <c r="F1131" s="1028"/>
      <c r="G1131" s="1028"/>
      <c r="H1131" s="1028"/>
      <c r="I1131" s="1022" t="s">
        <v>1390</v>
      </c>
      <c r="J1131" s="1028" t="s">
        <v>1391</v>
      </c>
      <c r="K1131" s="1020">
        <v>105</v>
      </c>
      <c r="L1131" s="1026">
        <v>330000</v>
      </c>
      <c r="M1131" s="1020">
        <v>0</v>
      </c>
      <c r="N1131" s="1026">
        <v>0</v>
      </c>
      <c r="O1131" s="1020">
        <v>20</v>
      </c>
      <c r="P1131" s="1026">
        <v>41049</v>
      </c>
      <c r="Q1131" s="1027">
        <v>0</v>
      </c>
      <c r="R1131" s="1020">
        <v>1288</v>
      </c>
      <c r="S1131" s="1027">
        <f t="shared" si="293"/>
        <v>0</v>
      </c>
      <c r="T1131" s="1027">
        <v>0</v>
      </c>
      <c r="U1131" s="1027">
        <f t="shared" si="294"/>
        <v>0</v>
      </c>
      <c r="V1131" s="1027">
        <v>0</v>
      </c>
      <c r="W1131" s="1027">
        <f t="shared" si="295"/>
        <v>0</v>
      </c>
      <c r="X1131" s="1027">
        <v>0</v>
      </c>
      <c r="Y1131" s="1027">
        <f t="shared" si="305"/>
        <v>0</v>
      </c>
      <c r="Z1131" s="1027">
        <f t="shared" si="305"/>
        <v>1288</v>
      </c>
      <c r="AA1131" s="1027">
        <f t="shared" si="306"/>
        <v>0</v>
      </c>
      <c r="AB1131" s="1027">
        <f t="shared" si="306"/>
        <v>1288</v>
      </c>
      <c r="AC1131" s="1027">
        <f t="shared" si="307"/>
        <v>0</v>
      </c>
      <c r="AD1131" s="1027">
        <f t="shared" si="307"/>
        <v>0.39030303030303032</v>
      </c>
      <c r="AE1131" s="1047"/>
      <c r="AF1131" s="1003"/>
      <c r="AG1131" s="1003"/>
      <c r="AH1131" s="1003"/>
    </row>
    <row r="1132" spans="1:37" s="994" customFormat="1" ht="57" customHeight="1">
      <c r="A1132" s="512"/>
      <c r="B1132" s="1028"/>
      <c r="C1132" s="1028"/>
      <c r="D1132" s="1028"/>
      <c r="E1132" s="1028"/>
      <c r="F1132" s="1028"/>
      <c r="G1132" s="1028"/>
      <c r="H1132" s="1028"/>
      <c r="I1132" s="1022" t="s">
        <v>1392</v>
      </c>
      <c r="J1132" s="1028" t="s">
        <v>1393</v>
      </c>
      <c r="K1132" s="1020">
        <v>48</v>
      </c>
      <c r="L1132" s="1026">
        <v>447200</v>
      </c>
      <c r="M1132" s="1020">
        <v>0</v>
      </c>
      <c r="N1132" s="1026">
        <v>0</v>
      </c>
      <c r="O1132" s="1020">
        <v>30</v>
      </c>
      <c r="P1132" s="1026">
        <v>49832</v>
      </c>
      <c r="Q1132" s="1027">
        <v>0</v>
      </c>
      <c r="R1132" s="1020">
        <v>4872</v>
      </c>
      <c r="S1132" s="1027">
        <f t="shared" si="293"/>
        <v>0</v>
      </c>
      <c r="T1132" s="1027">
        <v>0</v>
      </c>
      <c r="U1132" s="1027">
        <f t="shared" si="294"/>
        <v>0</v>
      </c>
      <c r="V1132" s="1027">
        <v>0</v>
      </c>
      <c r="W1132" s="1027">
        <f t="shared" si="295"/>
        <v>0</v>
      </c>
      <c r="X1132" s="1027">
        <v>0</v>
      </c>
      <c r="Y1132" s="1027">
        <f t="shared" si="305"/>
        <v>0</v>
      </c>
      <c r="Z1132" s="1027">
        <f t="shared" si="305"/>
        <v>4872</v>
      </c>
      <c r="AA1132" s="1027">
        <f t="shared" si="306"/>
        <v>0</v>
      </c>
      <c r="AB1132" s="1027">
        <f t="shared" si="306"/>
        <v>4872</v>
      </c>
      <c r="AC1132" s="1027">
        <f t="shared" si="307"/>
        <v>0</v>
      </c>
      <c r="AD1132" s="1027">
        <f t="shared" si="307"/>
        <v>1.0894454382826477</v>
      </c>
      <c r="AE1132" s="1035"/>
    </row>
    <row r="1133" spans="1:37" s="994" customFormat="1" ht="57" customHeight="1">
      <c r="A1133" s="512"/>
      <c r="B1133" s="1028"/>
      <c r="C1133" s="1028"/>
      <c r="D1133" s="1028"/>
      <c r="E1133" s="1028"/>
      <c r="F1133" s="1028"/>
      <c r="G1133" s="1028"/>
      <c r="H1133" s="1028"/>
      <c r="I1133" s="1022" t="s">
        <v>1394</v>
      </c>
      <c r="J1133" s="1028" t="s">
        <v>1395</v>
      </c>
      <c r="K1133" s="1020">
        <v>2</v>
      </c>
      <c r="L1133" s="1026">
        <v>560000</v>
      </c>
      <c r="M1133" s="1020">
        <v>0</v>
      </c>
      <c r="N1133" s="1026">
        <v>0</v>
      </c>
      <c r="O1133" s="1020">
        <v>1</v>
      </c>
      <c r="P1133" s="1026">
        <v>187909</v>
      </c>
      <c r="Q1133" s="1027">
        <v>0</v>
      </c>
      <c r="R1133" s="1020">
        <v>1658</v>
      </c>
      <c r="S1133" s="1027">
        <f t="shared" si="293"/>
        <v>0</v>
      </c>
      <c r="T1133" s="1027">
        <v>0</v>
      </c>
      <c r="U1133" s="1027">
        <f t="shared" si="294"/>
        <v>0</v>
      </c>
      <c r="V1133" s="1027">
        <v>0</v>
      </c>
      <c r="W1133" s="1027">
        <f t="shared" si="295"/>
        <v>0</v>
      </c>
      <c r="X1133" s="1027">
        <v>0</v>
      </c>
      <c r="Y1133" s="1027">
        <f t="shared" si="305"/>
        <v>0</v>
      </c>
      <c r="Z1133" s="1027">
        <f t="shared" si="305"/>
        <v>1658</v>
      </c>
      <c r="AA1133" s="1027">
        <f t="shared" si="306"/>
        <v>0</v>
      </c>
      <c r="AB1133" s="1027">
        <f t="shared" si="306"/>
        <v>1658</v>
      </c>
      <c r="AC1133" s="1027">
        <f t="shared" si="307"/>
        <v>0</v>
      </c>
      <c r="AD1133" s="1048">
        <v>0</v>
      </c>
      <c r="AE1133" s="1046"/>
    </row>
    <row r="1134" spans="1:37" s="994" customFormat="1" ht="72.75" customHeight="1">
      <c r="A1134" s="512"/>
      <c r="B1134" s="1042"/>
      <c r="C1134" s="1042"/>
      <c r="D1134" s="1042"/>
      <c r="E1134" s="1042"/>
      <c r="F1134" s="1042"/>
      <c r="G1134" s="1042"/>
      <c r="H1134" s="1042"/>
      <c r="I1134" s="1049" t="s">
        <v>1396</v>
      </c>
      <c r="J1134" s="1042" t="s">
        <v>1397</v>
      </c>
      <c r="K1134" s="1050">
        <v>6.9</v>
      </c>
      <c r="L1134" s="1045">
        <f>SUM(L1135:L1138)</f>
        <v>19243980</v>
      </c>
      <c r="M1134" s="1050">
        <v>4.0599999999999996</v>
      </c>
      <c r="N1134" s="1045">
        <f>SUM(N1135:N1138)</f>
        <v>7695486</v>
      </c>
      <c r="O1134" s="1044">
        <v>4.6399999999999997</v>
      </c>
      <c r="P1134" s="1045">
        <f>SUM(P1135:P1138)</f>
        <v>4507608</v>
      </c>
      <c r="Q1134" s="1027">
        <v>0</v>
      </c>
      <c r="R1134" s="1044">
        <v>0</v>
      </c>
      <c r="S1134" s="1027">
        <f t="shared" si="293"/>
        <v>0</v>
      </c>
      <c r="T1134" s="1027">
        <v>0</v>
      </c>
      <c r="U1134" s="1027">
        <f t="shared" si="294"/>
        <v>0</v>
      </c>
      <c r="V1134" s="1027">
        <v>0</v>
      </c>
      <c r="W1134" s="1027">
        <f t="shared" si="295"/>
        <v>0</v>
      </c>
      <c r="X1134" s="1027">
        <v>0</v>
      </c>
      <c r="Y1134" s="1027">
        <f t="shared" si="305"/>
        <v>0</v>
      </c>
      <c r="Z1134" s="1027">
        <f>SUM(Z1135:Z1138)</f>
        <v>64853.5</v>
      </c>
      <c r="AA1134" s="1027">
        <f>M1134+Y1134</f>
        <v>4.0599999999999996</v>
      </c>
      <c r="AB1134" s="1027">
        <f>N1134+Z1134</f>
        <v>7760339.5</v>
      </c>
      <c r="AC1134" s="1027">
        <f>AA1134/K1134*100</f>
        <v>58.840579710144915</v>
      </c>
      <c r="AD1134" s="1027">
        <f t="shared" si="307"/>
        <v>40.32606300775619</v>
      </c>
      <c r="AE1134" s="382"/>
      <c r="AG1134" s="1004">
        <f>Q1134/O1134*100</f>
        <v>0</v>
      </c>
    </row>
    <row r="1135" spans="1:37" s="994" customFormat="1" ht="57" customHeight="1">
      <c r="A1135" s="512"/>
      <c r="B1135" s="1028"/>
      <c r="C1135" s="1028"/>
      <c r="D1135" s="1028"/>
      <c r="E1135" s="1028"/>
      <c r="F1135" s="1028"/>
      <c r="G1135" s="1028"/>
      <c r="H1135" s="1028"/>
      <c r="I1135" s="1022" t="s">
        <v>1398</v>
      </c>
      <c r="J1135" s="1028" t="s">
        <v>1399</v>
      </c>
      <c r="K1135" s="1020">
        <v>4</v>
      </c>
      <c r="L1135" s="1026">
        <v>464100</v>
      </c>
      <c r="M1135" s="1020">
        <v>1</v>
      </c>
      <c r="N1135" s="1026">
        <v>62250</v>
      </c>
      <c r="O1135" s="1020">
        <v>1</v>
      </c>
      <c r="P1135" s="1026">
        <v>95676</v>
      </c>
      <c r="Q1135" s="1027">
        <v>0</v>
      </c>
      <c r="R1135" s="1020">
        <v>16683.7</v>
      </c>
      <c r="S1135" s="1027">
        <f t="shared" si="293"/>
        <v>0</v>
      </c>
      <c r="T1135" s="1027">
        <v>0</v>
      </c>
      <c r="U1135" s="1027">
        <f t="shared" si="294"/>
        <v>0</v>
      </c>
      <c r="V1135" s="1027">
        <v>0</v>
      </c>
      <c r="W1135" s="1027">
        <f t="shared" si="295"/>
        <v>0</v>
      </c>
      <c r="X1135" s="1027">
        <v>0</v>
      </c>
      <c r="Y1135" s="1027">
        <f t="shared" si="305"/>
        <v>0</v>
      </c>
      <c r="Z1135" s="1027">
        <f t="shared" si="305"/>
        <v>16683.7</v>
      </c>
      <c r="AA1135" s="1027">
        <f t="shared" si="306"/>
        <v>1</v>
      </c>
      <c r="AB1135" s="1027">
        <f t="shared" si="306"/>
        <v>78933.7</v>
      </c>
      <c r="AC1135" s="1027">
        <f t="shared" si="307"/>
        <v>25</v>
      </c>
      <c r="AD1135" s="1027">
        <f t="shared" si="307"/>
        <v>17.007907778496012</v>
      </c>
      <c r="AE1135" s="1051"/>
      <c r="AF1135" s="1005"/>
      <c r="AG1135" s="1005"/>
      <c r="AH1135" s="1005"/>
      <c r="AI1135" s="1005"/>
      <c r="AJ1135" s="1005"/>
      <c r="AK1135" s="1005"/>
    </row>
    <row r="1136" spans="1:37" s="994" customFormat="1" ht="66.75" customHeight="1">
      <c r="A1136" s="512"/>
      <c r="B1136" s="1028"/>
      <c r="C1136" s="1028"/>
      <c r="D1136" s="1028"/>
      <c r="E1136" s="1028"/>
      <c r="F1136" s="1028"/>
      <c r="G1136" s="1028"/>
      <c r="H1136" s="1028"/>
      <c r="I1136" s="1022" t="s">
        <v>1400</v>
      </c>
      <c r="J1136" s="1028" t="s">
        <v>1401</v>
      </c>
      <c r="K1136" s="1020">
        <v>21</v>
      </c>
      <c r="L1136" s="1026">
        <v>4226880</v>
      </c>
      <c r="M1136" s="1020">
        <v>13</v>
      </c>
      <c r="N1136" s="1026">
        <v>2261697</v>
      </c>
      <c r="O1136" s="1020">
        <v>8</v>
      </c>
      <c r="P1136" s="1026">
        <v>1945199</v>
      </c>
      <c r="Q1136" s="1027">
        <v>0</v>
      </c>
      <c r="R1136" s="1020">
        <v>11532.5</v>
      </c>
      <c r="S1136" s="1027">
        <f t="shared" si="293"/>
        <v>0</v>
      </c>
      <c r="T1136" s="1027">
        <v>0</v>
      </c>
      <c r="U1136" s="1027">
        <f t="shared" si="294"/>
        <v>0</v>
      </c>
      <c r="V1136" s="1027">
        <v>0</v>
      </c>
      <c r="W1136" s="1027">
        <f t="shared" si="295"/>
        <v>0</v>
      </c>
      <c r="X1136" s="1027">
        <v>0</v>
      </c>
      <c r="Y1136" s="1027">
        <f t="shared" si="305"/>
        <v>0</v>
      </c>
      <c r="Z1136" s="1027">
        <f t="shared" si="305"/>
        <v>11532.5</v>
      </c>
      <c r="AA1136" s="1027">
        <f t="shared" si="306"/>
        <v>13</v>
      </c>
      <c r="AB1136" s="1027">
        <f t="shared" si="306"/>
        <v>2273229.5</v>
      </c>
      <c r="AC1136" s="1027">
        <f t="shared" si="307"/>
        <v>61.904761904761905</v>
      </c>
      <c r="AD1136" s="1027">
        <f t="shared" si="307"/>
        <v>53.7803178703914</v>
      </c>
      <c r="AE1136" s="382"/>
    </row>
    <row r="1137" spans="1:34" s="994" customFormat="1" ht="57" customHeight="1">
      <c r="A1137" s="512"/>
      <c r="B1137" s="1028"/>
      <c r="C1137" s="1028"/>
      <c r="D1137" s="1028"/>
      <c r="E1137" s="1028"/>
      <c r="F1137" s="1028"/>
      <c r="G1137" s="1028"/>
      <c r="H1137" s="1028"/>
      <c r="I1137" s="1022" t="s">
        <v>1402</v>
      </c>
      <c r="J1137" s="1028" t="s">
        <v>1403</v>
      </c>
      <c r="K1137" s="1020">
        <v>51</v>
      </c>
      <c r="L1137" s="1026">
        <v>13230000</v>
      </c>
      <c r="M1137" s="1020">
        <v>24</v>
      </c>
      <c r="N1137" s="1026">
        <v>5334634</v>
      </c>
      <c r="O1137" s="1020">
        <v>12</v>
      </c>
      <c r="P1137" s="1026">
        <v>2423233</v>
      </c>
      <c r="Q1137" s="1027">
        <v>0</v>
      </c>
      <c r="R1137" s="1020">
        <v>8629.5</v>
      </c>
      <c r="S1137" s="1027">
        <f t="shared" si="293"/>
        <v>0</v>
      </c>
      <c r="T1137" s="1027">
        <v>0</v>
      </c>
      <c r="U1137" s="1027">
        <f t="shared" si="294"/>
        <v>0</v>
      </c>
      <c r="V1137" s="1027">
        <v>0</v>
      </c>
      <c r="W1137" s="1027">
        <f t="shared" si="295"/>
        <v>0</v>
      </c>
      <c r="X1137" s="1027">
        <v>0</v>
      </c>
      <c r="Y1137" s="1027">
        <f t="shared" si="305"/>
        <v>0</v>
      </c>
      <c r="Z1137" s="1027">
        <f t="shared" si="305"/>
        <v>8629.5</v>
      </c>
      <c r="AA1137" s="1027">
        <f t="shared" si="306"/>
        <v>24</v>
      </c>
      <c r="AB1137" s="1027">
        <f t="shared" si="306"/>
        <v>5343263.5</v>
      </c>
      <c r="AC1137" s="1027">
        <f t="shared" si="307"/>
        <v>47.058823529411761</v>
      </c>
      <c r="AD1137" s="1027">
        <f t="shared" si="307"/>
        <v>40.387479213907781</v>
      </c>
      <c r="AE1137" s="1030"/>
      <c r="AF1137" s="1002"/>
      <c r="AG1137" s="1002"/>
      <c r="AH1137" s="1002"/>
    </row>
    <row r="1138" spans="1:34" s="994" customFormat="1" ht="57" customHeight="1">
      <c r="A1138" s="512"/>
      <c r="B1138" s="1028"/>
      <c r="C1138" s="1028"/>
      <c r="D1138" s="1028"/>
      <c r="E1138" s="1028"/>
      <c r="F1138" s="1028"/>
      <c r="G1138" s="1028"/>
      <c r="H1138" s="1028"/>
      <c r="I1138" s="1022" t="s">
        <v>1404</v>
      </c>
      <c r="J1138" s="1028" t="s">
        <v>1405</v>
      </c>
      <c r="K1138" s="1020">
        <v>4</v>
      </c>
      <c r="L1138" s="1026">
        <v>1323000</v>
      </c>
      <c r="M1138" s="1020">
        <v>2</v>
      </c>
      <c r="N1138" s="1026">
        <v>36905</v>
      </c>
      <c r="O1138" s="1020">
        <v>1</v>
      </c>
      <c r="P1138" s="1026">
        <v>43500</v>
      </c>
      <c r="Q1138" s="1027">
        <v>0</v>
      </c>
      <c r="R1138" s="1020">
        <v>28007.8</v>
      </c>
      <c r="S1138" s="1027">
        <f t="shared" si="293"/>
        <v>0</v>
      </c>
      <c r="T1138" s="1027">
        <v>0</v>
      </c>
      <c r="U1138" s="1027">
        <f t="shared" si="294"/>
        <v>0</v>
      </c>
      <c r="V1138" s="1027">
        <v>0</v>
      </c>
      <c r="W1138" s="1027">
        <f t="shared" si="295"/>
        <v>0</v>
      </c>
      <c r="X1138" s="1027">
        <v>0</v>
      </c>
      <c r="Y1138" s="1027">
        <f>Q1138</f>
        <v>0</v>
      </c>
      <c r="Z1138" s="1027">
        <f t="shared" si="305"/>
        <v>28007.8</v>
      </c>
      <c r="AA1138" s="1027">
        <f t="shared" si="306"/>
        <v>2</v>
      </c>
      <c r="AB1138" s="1027">
        <f t="shared" si="306"/>
        <v>64912.800000000003</v>
      </c>
      <c r="AC1138" s="1027">
        <f t="shared" si="307"/>
        <v>50</v>
      </c>
      <c r="AD1138" s="1027">
        <f t="shared" si="307"/>
        <v>4.9064852607709746</v>
      </c>
      <c r="AE1138" s="1035"/>
    </row>
    <row r="1139" spans="1:34" s="994" customFormat="1" ht="57" customHeight="1">
      <c r="A1139" s="512"/>
      <c r="B1139" s="1052"/>
      <c r="C1139" s="1052"/>
      <c r="D1139" s="1052"/>
      <c r="E1139" s="1052"/>
      <c r="F1139" s="1052"/>
      <c r="G1139" s="1052"/>
      <c r="H1139" s="1052"/>
      <c r="I1139" s="1053" t="s">
        <v>221</v>
      </c>
      <c r="J1139" s="1052" t="s">
        <v>1406</v>
      </c>
      <c r="K1139" s="1054">
        <v>100</v>
      </c>
      <c r="L1139" s="1055">
        <f>SUM(L1140:L1150)</f>
        <v>6474148</v>
      </c>
      <c r="M1139" s="1056">
        <f>2/6*100</f>
        <v>33.333333333333329</v>
      </c>
      <c r="N1139" s="1055">
        <f>SUM(N1140:N1150)</f>
        <v>1393924</v>
      </c>
      <c r="O1139" s="1056">
        <f>3/6*100</f>
        <v>50</v>
      </c>
      <c r="P1139" s="1055">
        <f>SUM(P1140:P1150)</f>
        <v>908765</v>
      </c>
      <c r="Q1139" s="1057">
        <v>0</v>
      </c>
      <c r="R1139" s="1055">
        <f>SUM(R1140:R1150)</f>
        <v>121580</v>
      </c>
      <c r="S1139" s="1057">
        <f t="shared" si="293"/>
        <v>0</v>
      </c>
      <c r="T1139" s="1055">
        <f>SUM(T1140:T1150)</f>
        <v>0</v>
      </c>
      <c r="U1139" s="1057">
        <f t="shared" si="294"/>
        <v>0</v>
      </c>
      <c r="V1139" s="1055">
        <f>SUM(V1140:V1150)</f>
        <v>0</v>
      </c>
      <c r="W1139" s="1057">
        <f t="shared" si="295"/>
        <v>0</v>
      </c>
      <c r="X1139" s="1055">
        <f>SUM(X1140:X1150)</f>
        <v>0</v>
      </c>
      <c r="Y1139" s="1027">
        <f t="shared" ref="Y1139:Z1154" si="308">Q1139</f>
        <v>0</v>
      </c>
      <c r="Z1139" s="1057">
        <f>SUM(Z1140:Z1150)</f>
        <v>121580</v>
      </c>
      <c r="AA1139" s="1027">
        <f>M1139+Y1139</f>
        <v>33.333333333333329</v>
      </c>
      <c r="AB1139" s="1027">
        <f>N1139+Z1139</f>
        <v>1515504</v>
      </c>
      <c r="AC1139" s="1027">
        <f>AA1139/K1139*100</f>
        <v>33.333333333333329</v>
      </c>
      <c r="AD1139" s="1027">
        <f>AB1139/L1139*100</f>
        <v>23.408547348624097</v>
      </c>
      <c r="AE1139" s="1041"/>
      <c r="AG1139" s="1004">
        <f>Q1139/O1139*100</f>
        <v>0</v>
      </c>
    </row>
    <row r="1140" spans="1:34" s="994" customFormat="1" ht="57" customHeight="1">
      <c r="A1140" s="512"/>
      <c r="B1140" s="1052"/>
      <c r="C1140" s="1052"/>
      <c r="D1140" s="1052"/>
      <c r="E1140" s="1052"/>
      <c r="F1140" s="1052"/>
      <c r="G1140" s="1052"/>
      <c r="H1140" s="1052"/>
      <c r="I1140" s="1058" t="s">
        <v>147</v>
      </c>
      <c r="J1140" s="1052" t="s">
        <v>1407</v>
      </c>
      <c r="K1140" s="1054">
        <v>72</v>
      </c>
      <c r="L1140" s="1055">
        <v>961416</v>
      </c>
      <c r="M1140" s="1054">
        <v>24</v>
      </c>
      <c r="N1140" s="1054">
        <v>156305</v>
      </c>
      <c r="O1140" s="1054">
        <v>12</v>
      </c>
      <c r="P1140" s="1055">
        <v>131000</v>
      </c>
      <c r="Q1140" s="1057">
        <v>3</v>
      </c>
      <c r="R1140" s="1054">
        <v>21470</v>
      </c>
      <c r="S1140" s="1027">
        <f t="shared" si="293"/>
        <v>3</v>
      </c>
      <c r="T1140" s="1027">
        <v>0</v>
      </c>
      <c r="U1140" s="1027">
        <f t="shared" si="294"/>
        <v>6</v>
      </c>
      <c r="V1140" s="1027">
        <v>0</v>
      </c>
      <c r="W1140" s="1027">
        <f t="shared" si="295"/>
        <v>12</v>
      </c>
      <c r="X1140" s="1027">
        <v>0</v>
      </c>
      <c r="Y1140" s="1027">
        <f t="shared" si="308"/>
        <v>3</v>
      </c>
      <c r="Z1140" s="1027">
        <f t="shared" si="308"/>
        <v>21470</v>
      </c>
      <c r="AA1140" s="1027">
        <f t="shared" ref="AA1140:AB1150" si="309">M1140+Y1140</f>
        <v>27</v>
      </c>
      <c r="AB1140" s="1027">
        <f t="shared" si="309"/>
        <v>177775</v>
      </c>
      <c r="AC1140" s="1027">
        <f t="shared" ref="AC1140:AD1150" si="310">AA1140/K1140*100</f>
        <v>37.5</v>
      </c>
      <c r="AD1140" s="1027">
        <f t="shared" si="310"/>
        <v>18.490955008029822</v>
      </c>
      <c r="AE1140" s="1041"/>
    </row>
    <row r="1141" spans="1:34" s="994" customFormat="1" ht="57" customHeight="1">
      <c r="A1141" s="512"/>
      <c r="B1141" s="1052"/>
      <c r="C1141" s="1052"/>
      <c r="D1141" s="1052"/>
      <c r="E1141" s="1052"/>
      <c r="F1141" s="1052"/>
      <c r="G1141" s="1052"/>
      <c r="H1141" s="1052"/>
      <c r="I1141" s="1058" t="s">
        <v>148</v>
      </c>
      <c r="J1141" s="1052" t="s">
        <v>1408</v>
      </c>
      <c r="K1141" s="1054">
        <v>72</v>
      </c>
      <c r="L1141" s="1055">
        <v>1182633</v>
      </c>
      <c r="M1141" s="1054">
        <v>24</v>
      </c>
      <c r="N1141" s="1054">
        <v>336834</v>
      </c>
      <c r="O1141" s="1054">
        <v>12</v>
      </c>
      <c r="P1141" s="1055">
        <v>194500</v>
      </c>
      <c r="Q1141" s="1057">
        <v>3</v>
      </c>
      <c r="R1141" s="1054">
        <v>17500</v>
      </c>
      <c r="S1141" s="1027">
        <f t="shared" si="293"/>
        <v>3</v>
      </c>
      <c r="T1141" s="1027">
        <v>0</v>
      </c>
      <c r="U1141" s="1027">
        <f t="shared" si="294"/>
        <v>6</v>
      </c>
      <c r="V1141" s="1027">
        <v>0</v>
      </c>
      <c r="W1141" s="1027">
        <f t="shared" si="295"/>
        <v>12</v>
      </c>
      <c r="X1141" s="1027">
        <v>0</v>
      </c>
      <c r="Y1141" s="1027">
        <f t="shared" si="308"/>
        <v>3</v>
      </c>
      <c r="Z1141" s="1027">
        <f t="shared" si="308"/>
        <v>17500</v>
      </c>
      <c r="AA1141" s="1027">
        <f t="shared" si="309"/>
        <v>27</v>
      </c>
      <c r="AB1141" s="1027">
        <f t="shared" si="309"/>
        <v>354334</v>
      </c>
      <c r="AC1141" s="1027">
        <f t="shared" si="310"/>
        <v>37.5</v>
      </c>
      <c r="AD1141" s="1027">
        <f t="shared" si="310"/>
        <v>29.961450424603409</v>
      </c>
      <c r="AE1141" s="1041"/>
    </row>
    <row r="1142" spans="1:34" s="994" customFormat="1" ht="57" customHeight="1">
      <c r="A1142" s="512"/>
      <c r="B1142" s="1052"/>
      <c r="C1142" s="1052"/>
      <c r="D1142" s="1052"/>
      <c r="E1142" s="1052"/>
      <c r="F1142" s="1052"/>
      <c r="G1142" s="1052"/>
      <c r="H1142" s="1052"/>
      <c r="I1142" s="1058" t="s">
        <v>876</v>
      </c>
      <c r="J1142" s="1052" t="s">
        <v>1409</v>
      </c>
      <c r="K1142" s="1054">
        <v>72</v>
      </c>
      <c r="L1142" s="1055">
        <v>622241</v>
      </c>
      <c r="M1142" s="1054">
        <v>24</v>
      </c>
      <c r="N1142" s="1054">
        <v>16353</v>
      </c>
      <c r="O1142" s="1054">
        <v>12</v>
      </c>
      <c r="P1142" s="1055">
        <v>130550</v>
      </c>
      <c r="Q1142" s="1057">
        <v>0</v>
      </c>
      <c r="R1142" s="1054">
        <v>0</v>
      </c>
      <c r="S1142" s="1027">
        <f t="shared" si="293"/>
        <v>0</v>
      </c>
      <c r="T1142" s="1027">
        <v>0</v>
      </c>
      <c r="U1142" s="1027">
        <f t="shared" si="294"/>
        <v>0</v>
      </c>
      <c r="V1142" s="1027">
        <v>0</v>
      </c>
      <c r="W1142" s="1027">
        <f t="shared" si="295"/>
        <v>0</v>
      </c>
      <c r="X1142" s="1027">
        <v>0</v>
      </c>
      <c r="Y1142" s="1027">
        <f t="shared" si="308"/>
        <v>0</v>
      </c>
      <c r="Z1142" s="1027">
        <f t="shared" si="308"/>
        <v>0</v>
      </c>
      <c r="AA1142" s="1027">
        <f t="shared" si="309"/>
        <v>24</v>
      </c>
      <c r="AB1142" s="1027">
        <f t="shared" si="309"/>
        <v>16353</v>
      </c>
      <c r="AC1142" s="1027">
        <f t="shared" si="310"/>
        <v>33.333333333333329</v>
      </c>
      <c r="AD1142" s="1027">
        <f t="shared" si="310"/>
        <v>2.6280814025433878</v>
      </c>
      <c r="AE1142" s="1041"/>
    </row>
    <row r="1143" spans="1:34" s="994" customFormat="1" ht="57" customHeight="1">
      <c r="A1143" s="512"/>
      <c r="B1143" s="1052"/>
      <c r="C1143" s="1052"/>
      <c r="D1143" s="1052"/>
      <c r="E1143" s="1052"/>
      <c r="F1143" s="1052"/>
      <c r="G1143" s="1052"/>
      <c r="H1143" s="1052"/>
      <c r="I1143" s="1058" t="s">
        <v>1410</v>
      </c>
      <c r="J1143" s="1052" t="s">
        <v>1411</v>
      </c>
      <c r="K1143" s="1054">
        <v>72</v>
      </c>
      <c r="L1143" s="1055">
        <v>215116</v>
      </c>
      <c r="M1143" s="1054">
        <v>24</v>
      </c>
      <c r="N1143" s="1054">
        <v>47473</v>
      </c>
      <c r="O1143" s="1054">
        <v>12</v>
      </c>
      <c r="P1143" s="1055">
        <v>20250</v>
      </c>
      <c r="Q1143" s="1057">
        <v>0</v>
      </c>
      <c r="R1143" s="1054">
        <v>0</v>
      </c>
      <c r="S1143" s="1027">
        <f t="shared" si="293"/>
        <v>0</v>
      </c>
      <c r="T1143" s="1027">
        <v>0</v>
      </c>
      <c r="U1143" s="1027">
        <f t="shared" si="294"/>
        <v>0</v>
      </c>
      <c r="V1143" s="1027">
        <v>0</v>
      </c>
      <c r="W1143" s="1027">
        <f t="shared" si="295"/>
        <v>0</v>
      </c>
      <c r="X1143" s="1027">
        <v>0</v>
      </c>
      <c r="Y1143" s="1027">
        <f t="shared" si="308"/>
        <v>0</v>
      </c>
      <c r="Z1143" s="1027">
        <f t="shared" si="308"/>
        <v>0</v>
      </c>
      <c r="AA1143" s="1027">
        <f t="shared" si="309"/>
        <v>24</v>
      </c>
      <c r="AB1143" s="1027">
        <f t="shared" si="309"/>
        <v>47473</v>
      </c>
      <c r="AC1143" s="1027">
        <f t="shared" si="310"/>
        <v>33.333333333333329</v>
      </c>
      <c r="AD1143" s="1027">
        <f t="shared" si="310"/>
        <v>22.068558359210844</v>
      </c>
      <c r="AE1143" s="1041"/>
    </row>
    <row r="1144" spans="1:34" s="994" customFormat="1" ht="57" customHeight="1">
      <c r="A1144" s="512"/>
      <c r="B1144" s="1052"/>
      <c r="C1144" s="1052"/>
      <c r="D1144" s="1052"/>
      <c r="E1144" s="1052"/>
      <c r="F1144" s="1052"/>
      <c r="G1144" s="1052"/>
      <c r="H1144" s="1052"/>
      <c r="I1144" s="1058" t="s">
        <v>150</v>
      </c>
      <c r="J1144" s="1052" t="s">
        <v>1412</v>
      </c>
      <c r="K1144" s="1054">
        <v>72</v>
      </c>
      <c r="L1144" s="1055">
        <v>724094</v>
      </c>
      <c r="M1144" s="1054">
        <v>24</v>
      </c>
      <c r="N1144" s="1054">
        <v>213527</v>
      </c>
      <c r="O1144" s="1054">
        <v>12</v>
      </c>
      <c r="P1144" s="1055">
        <v>110000</v>
      </c>
      <c r="Q1144" s="1057">
        <v>3</v>
      </c>
      <c r="R1144" s="1054">
        <v>9816</v>
      </c>
      <c r="S1144" s="1027">
        <f t="shared" si="293"/>
        <v>3</v>
      </c>
      <c r="T1144" s="1027">
        <v>0</v>
      </c>
      <c r="U1144" s="1027">
        <f t="shared" si="294"/>
        <v>6</v>
      </c>
      <c r="V1144" s="1027">
        <v>0</v>
      </c>
      <c r="W1144" s="1027">
        <f t="shared" si="295"/>
        <v>12</v>
      </c>
      <c r="X1144" s="1027">
        <v>0</v>
      </c>
      <c r="Y1144" s="1027">
        <f t="shared" si="308"/>
        <v>3</v>
      </c>
      <c r="Z1144" s="1027">
        <f t="shared" si="308"/>
        <v>9816</v>
      </c>
      <c r="AA1144" s="1027">
        <f t="shared" si="309"/>
        <v>27</v>
      </c>
      <c r="AB1144" s="1027">
        <f t="shared" si="309"/>
        <v>223343</v>
      </c>
      <c r="AC1144" s="1027">
        <f t="shared" si="310"/>
        <v>37.5</v>
      </c>
      <c r="AD1144" s="1027">
        <f t="shared" si="310"/>
        <v>30.844475993448366</v>
      </c>
      <c r="AE1144" s="1041"/>
    </row>
    <row r="1145" spans="1:34" s="994" customFormat="1" ht="57" customHeight="1">
      <c r="A1145" s="512"/>
      <c r="B1145" s="1052"/>
      <c r="C1145" s="1052"/>
      <c r="D1145" s="1052"/>
      <c r="E1145" s="1052"/>
      <c r="F1145" s="1052"/>
      <c r="G1145" s="1052"/>
      <c r="H1145" s="1052"/>
      <c r="I1145" s="1058" t="s">
        <v>882</v>
      </c>
      <c r="J1145" s="1052" t="s">
        <v>1413</v>
      </c>
      <c r="K1145" s="1054">
        <v>72</v>
      </c>
      <c r="L1145" s="1055">
        <v>291174</v>
      </c>
      <c r="M1145" s="1054">
        <v>24</v>
      </c>
      <c r="N1145" s="1054">
        <v>70027</v>
      </c>
      <c r="O1145" s="1054">
        <v>12</v>
      </c>
      <c r="P1145" s="1055">
        <v>34233</v>
      </c>
      <c r="Q1145" s="1057">
        <v>3</v>
      </c>
      <c r="R1145" s="1054">
        <v>6315</v>
      </c>
      <c r="S1145" s="1027">
        <f t="shared" si="293"/>
        <v>3</v>
      </c>
      <c r="T1145" s="1027">
        <v>0</v>
      </c>
      <c r="U1145" s="1027">
        <f t="shared" si="294"/>
        <v>6</v>
      </c>
      <c r="V1145" s="1027">
        <v>0</v>
      </c>
      <c r="W1145" s="1027">
        <f t="shared" si="295"/>
        <v>12</v>
      </c>
      <c r="X1145" s="1027">
        <v>0</v>
      </c>
      <c r="Y1145" s="1027">
        <f t="shared" si="308"/>
        <v>3</v>
      </c>
      <c r="Z1145" s="1027">
        <f t="shared" si="308"/>
        <v>6315</v>
      </c>
      <c r="AA1145" s="1027">
        <f t="shared" si="309"/>
        <v>27</v>
      </c>
      <c r="AB1145" s="1027">
        <f t="shared" si="309"/>
        <v>76342</v>
      </c>
      <c r="AC1145" s="1027">
        <f t="shared" si="310"/>
        <v>37.5</v>
      </c>
      <c r="AD1145" s="1027">
        <f t="shared" si="310"/>
        <v>26.218687108052229</v>
      </c>
      <c r="AE1145" s="1041"/>
    </row>
    <row r="1146" spans="1:34" s="994" customFormat="1" ht="57" customHeight="1">
      <c r="A1146" s="512"/>
      <c r="B1146" s="1052"/>
      <c r="C1146" s="1052"/>
      <c r="D1146" s="1052"/>
      <c r="E1146" s="1052"/>
      <c r="F1146" s="1052"/>
      <c r="G1146" s="1052"/>
      <c r="H1146" s="1052"/>
      <c r="I1146" s="1058" t="s">
        <v>884</v>
      </c>
      <c r="J1146" s="1052" t="s">
        <v>1414</v>
      </c>
      <c r="K1146" s="1054">
        <v>72</v>
      </c>
      <c r="L1146" s="1055">
        <v>58613</v>
      </c>
      <c r="M1146" s="1054">
        <v>24</v>
      </c>
      <c r="N1146" s="1054">
        <v>12146</v>
      </c>
      <c r="O1146" s="1054">
        <v>12</v>
      </c>
      <c r="P1146" s="1055">
        <v>7607</v>
      </c>
      <c r="Q1146" s="1057">
        <v>0</v>
      </c>
      <c r="R1146" s="1054">
        <v>0</v>
      </c>
      <c r="S1146" s="1027">
        <f t="shared" si="293"/>
        <v>0</v>
      </c>
      <c r="T1146" s="1027">
        <v>0</v>
      </c>
      <c r="U1146" s="1027">
        <f t="shared" si="294"/>
        <v>0</v>
      </c>
      <c r="V1146" s="1027">
        <v>0</v>
      </c>
      <c r="W1146" s="1027">
        <f t="shared" si="295"/>
        <v>0</v>
      </c>
      <c r="X1146" s="1027">
        <v>0</v>
      </c>
      <c r="Y1146" s="1027">
        <f t="shared" si="308"/>
        <v>0</v>
      </c>
      <c r="Z1146" s="1027">
        <f t="shared" si="308"/>
        <v>0</v>
      </c>
      <c r="AA1146" s="1027">
        <f t="shared" si="309"/>
        <v>24</v>
      </c>
      <c r="AB1146" s="1027">
        <f t="shared" si="309"/>
        <v>12146</v>
      </c>
      <c r="AC1146" s="1027">
        <f t="shared" si="310"/>
        <v>33.333333333333329</v>
      </c>
      <c r="AD1146" s="1027">
        <f t="shared" si="310"/>
        <v>20.722365345571802</v>
      </c>
      <c r="AE1146" s="1041"/>
    </row>
    <row r="1147" spans="1:34" s="994" customFormat="1" ht="57" customHeight="1">
      <c r="A1147" s="512"/>
      <c r="B1147" s="1052"/>
      <c r="C1147" s="1052"/>
      <c r="D1147" s="1052"/>
      <c r="E1147" s="1052"/>
      <c r="F1147" s="1052"/>
      <c r="G1147" s="1052"/>
      <c r="H1147" s="1052"/>
      <c r="I1147" s="1058" t="s">
        <v>886</v>
      </c>
      <c r="J1147" s="1052" t="s">
        <v>1415</v>
      </c>
      <c r="K1147" s="1054">
        <v>72</v>
      </c>
      <c r="L1147" s="1055">
        <v>83448</v>
      </c>
      <c r="M1147" s="1054">
        <v>24</v>
      </c>
      <c r="N1147" s="1054">
        <v>25790</v>
      </c>
      <c r="O1147" s="1054">
        <v>12</v>
      </c>
      <c r="P1147" s="1055">
        <v>16400</v>
      </c>
      <c r="Q1147" s="1057">
        <v>3</v>
      </c>
      <c r="R1147" s="1054">
        <v>1095</v>
      </c>
      <c r="S1147" s="1027">
        <f t="shared" si="293"/>
        <v>3</v>
      </c>
      <c r="T1147" s="1027">
        <v>0</v>
      </c>
      <c r="U1147" s="1027">
        <f t="shared" si="294"/>
        <v>6</v>
      </c>
      <c r="V1147" s="1027">
        <v>0</v>
      </c>
      <c r="W1147" s="1027">
        <f t="shared" si="295"/>
        <v>12</v>
      </c>
      <c r="X1147" s="1027">
        <v>0</v>
      </c>
      <c r="Y1147" s="1027">
        <f t="shared" si="308"/>
        <v>3</v>
      </c>
      <c r="Z1147" s="1027">
        <f t="shared" si="308"/>
        <v>1095</v>
      </c>
      <c r="AA1147" s="1027">
        <f t="shared" si="309"/>
        <v>27</v>
      </c>
      <c r="AB1147" s="1027">
        <f t="shared" si="309"/>
        <v>26885</v>
      </c>
      <c r="AC1147" s="1027">
        <f t="shared" si="310"/>
        <v>37.5</v>
      </c>
      <c r="AD1147" s="1027">
        <f t="shared" si="310"/>
        <v>32.217668488160292</v>
      </c>
      <c r="AE1147" s="1041"/>
    </row>
    <row r="1148" spans="1:34" s="994" customFormat="1" ht="57" customHeight="1">
      <c r="A1148" s="512"/>
      <c r="B1148" s="1052"/>
      <c r="C1148" s="1052"/>
      <c r="D1148" s="1052"/>
      <c r="E1148" s="1052"/>
      <c r="F1148" s="1052"/>
      <c r="G1148" s="1052"/>
      <c r="H1148" s="1052"/>
      <c r="I1148" s="1058" t="s">
        <v>157</v>
      </c>
      <c r="J1148" s="1052" t="s">
        <v>1416</v>
      </c>
      <c r="K1148" s="1054">
        <v>72</v>
      </c>
      <c r="L1148" s="1055">
        <v>289824</v>
      </c>
      <c r="M1148" s="1054">
        <v>24</v>
      </c>
      <c r="N1148" s="1054">
        <v>56037</v>
      </c>
      <c r="O1148" s="1054">
        <v>12</v>
      </c>
      <c r="P1148" s="1055">
        <v>45100</v>
      </c>
      <c r="Q1148" s="1057">
        <v>3</v>
      </c>
      <c r="R1148" s="1054">
        <v>6772</v>
      </c>
      <c r="S1148" s="1027">
        <f t="shared" si="293"/>
        <v>3</v>
      </c>
      <c r="T1148" s="1027">
        <v>0</v>
      </c>
      <c r="U1148" s="1027">
        <f t="shared" si="294"/>
        <v>6</v>
      </c>
      <c r="V1148" s="1027">
        <v>0</v>
      </c>
      <c r="W1148" s="1027">
        <f t="shared" si="295"/>
        <v>12</v>
      </c>
      <c r="X1148" s="1027">
        <v>0</v>
      </c>
      <c r="Y1148" s="1027">
        <f t="shared" si="308"/>
        <v>3</v>
      </c>
      <c r="Z1148" s="1027">
        <f t="shared" si="308"/>
        <v>6772</v>
      </c>
      <c r="AA1148" s="1027">
        <f t="shared" si="309"/>
        <v>27</v>
      </c>
      <c r="AB1148" s="1027">
        <f t="shared" si="309"/>
        <v>62809</v>
      </c>
      <c r="AC1148" s="1027">
        <f t="shared" si="310"/>
        <v>37.5</v>
      </c>
      <c r="AD1148" s="1027">
        <f t="shared" si="310"/>
        <v>21.671428177100584</v>
      </c>
      <c r="AE1148" s="1041"/>
    </row>
    <row r="1149" spans="1:34" s="994" customFormat="1" ht="57" customHeight="1">
      <c r="A1149" s="512"/>
      <c r="B1149" s="1052"/>
      <c r="C1149" s="1052"/>
      <c r="D1149" s="1052"/>
      <c r="E1149" s="1052"/>
      <c r="F1149" s="1052"/>
      <c r="G1149" s="1052"/>
      <c r="H1149" s="1052"/>
      <c r="I1149" s="1058" t="s">
        <v>158</v>
      </c>
      <c r="J1149" s="1052" t="s">
        <v>1417</v>
      </c>
      <c r="K1149" s="1054">
        <v>72</v>
      </c>
      <c r="L1149" s="1055">
        <v>1266580</v>
      </c>
      <c r="M1149" s="1054">
        <v>24</v>
      </c>
      <c r="N1149" s="1054">
        <v>295007</v>
      </c>
      <c r="O1149" s="1054">
        <v>12</v>
      </c>
      <c r="P1149" s="1055">
        <v>143000</v>
      </c>
      <c r="Q1149" s="1057">
        <v>3</v>
      </c>
      <c r="R1149" s="1054">
        <v>40932</v>
      </c>
      <c r="S1149" s="1027">
        <f t="shared" si="293"/>
        <v>3</v>
      </c>
      <c r="T1149" s="1027">
        <v>0</v>
      </c>
      <c r="U1149" s="1027">
        <f t="shared" si="294"/>
        <v>6</v>
      </c>
      <c r="V1149" s="1027">
        <v>0</v>
      </c>
      <c r="W1149" s="1027">
        <f t="shared" si="295"/>
        <v>12</v>
      </c>
      <c r="X1149" s="1027">
        <v>0</v>
      </c>
      <c r="Y1149" s="1027">
        <f t="shared" si="308"/>
        <v>3</v>
      </c>
      <c r="Z1149" s="1027">
        <f t="shared" si="308"/>
        <v>40932</v>
      </c>
      <c r="AA1149" s="1027">
        <f t="shared" si="309"/>
        <v>27</v>
      </c>
      <c r="AB1149" s="1027">
        <f t="shared" si="309"/>
        <v>335939</v>
      </c>
      <c r="AC1149" s="1027">
        <f t="shared" si="310"/>
        <v>37.5</v>
      </c>
      <c r="AD1149" s="1027">
        <f t="shared" si="310"/>
        <v>26.523314753114686</v>
      </c>
      <c r="AE1149" s="1041"/>
    </row>
    <row r="1150" spans="1:34" s="994" customFormat="1" ht="57" customHeight="1">
      <c r="A1150" s="512"/>
      <c r="B1150" s="1052"/>
      <c r="C1150" s="1052"/>
      <c r="D1150" s="1052"/>
      <c r="E1150" s="1052"/>
      <c r="F1150" s="1052"/>
      <c r="G1150" s="1052"/>
      <c r="H1150" s="1052"/>
      <c r="I1150" s="1058" t="s">
        <v>159</v>
      </c>
      <c r="J1150" s="1052" t="s">
        <v>1418</v>
      </c>
      <c r="K1150" s="1054">
        <v>72</v>
      </c>
      <c r="L1150" s="1055">
        <v>779009</v>
      </c>
      <c r="M1150" s="1054">
        <v>24</v>
      </c>
      <c r="N1150" s="1054">
        <v>164425</v>
      </c>
      <c r="O1150" s="1054">
        <v>12</v>
      </c>
      <c r="P1150" s="1055">
        <v>76125</v>
      </c>
      <c r="Q1150" s="1057">
        <v>3</v>
      </c>
      <c r="R1150" s="1054">
        <v>17680</v>
      </c>
      <c r="S1150" s="1027">
        <f t="shared" ref="S1150" si="311">Q1150</f>
        <v>3</v>
      </c>
      <c r="T1150" s="1027">
        <v>0</v>
      </c>
      <c r="U1150" s="1027">
        <f t="shared" ref="U1150:U1151" si="312">Q1150+S1150</f>
        <v>6</v>
      </c>
      <c r="V1150" s="1027">
        <v>0</v>
      </c>
      <c r="W1150" s="1027">
        <f t="shared" ref="W1150:W1151" si="313">Q1150+S1150+U1150</f>
        <v>12</v>
      </c>
      <c r="X1150" s="1027">
        <v>0</v>
      </c>
      <c r="Y1150" s="1027">
        <f t="shared" si="308"/>
        <v>3</v>
      </c>
      <c r="Z1150" s="1027">
        <f t="shared" si="308"/>
        <v>17680</v>
      </c>
      <c r="AA1150" s="1027">
        <f t="shared" si="309"/>
        <v>27</v>
      </c>
      <c r="AB1150" s="1027">
        <f t="shared" si="309"/>
        <v>182105</v>
      </c>
      <c r="AC1150" s="1027">
        <f t="shared" si="310"/>
        <v>37.5</v>
      </c>
      <c r="AD1150" s="1027">
        <f t="shared" si="310"/>
        <v>23.376495008401701</v>
      </c>
      <c r="AE1150" s="1041"/>
    </row>
    <row r="1151" spans="1:34" s="994" customFormat="1" ht="57" customHeight="1">
      <c r="A1151" s="512"/>
      <c r="B1151" s="1052"/>
      <c r="C1151" s="1052"/>
      <c r="D1151" s="1052"/>
      <c r="E1151" s="1052"/>
      <c r="F1151" s="1052"/>
      <c r="G1151" s="1052"/>
      <c r="H1151" s="1052"/>
      <c r="I1151" s="1053" t="s">
        <v>1419</v>
      </c>
      <c r="J1151" s="1052" t="s">
        <v>1420</v>
      </c>
      <c r="K1151" s="1054">
        <v>80</v>
      </c>
      <c r="L1151" s="1055">
        <f>SUM(L1152:L1156)</f>
        <v>2891920</v>
      </c>
      <c r="M1151" s="1054">
        <f>2/6*80</f>
        <v>26.666666666666664</v>
      </c>
      <c r="N1151" s="1055">
        <f>SUM(N1152:N1156)</f>
        <v>693320</v>
      </c>
      <c r="O1151" s="1054">
        <f>3/6*80</f>
        <v>40</v>
      </c>
      <c r="P1151" s="1055">
        <f>SUM(P1152:P1156)</f>
        <v>544213</v>
      </c>
      <c r="Q1151" s="1057">
        <v>0</v>
      </c>
      <c r="R1151" s="1055">
        <f>SUM(R1152:R1156)</f>
        <v>22029</v>
      </c>
      <c r="S1151" s="1057">
        <v>0</v>
      </c>
      <c r="T1151" s="1055">
        <f>SUM(T1152:T1156)</f>
        <v>0</v>
      </c>
      <c r="U1151" s="1057">
        <f t="shared" si="312"/>
        <v>0</v>
      </c>
      <c r="V1151" s="1055">
        <f>SUM(V1152:V1156)</f>
        <v>0</v>
      </c>
      <c r="W1151" s="1057">
        <f t="shared" si="313"/>
        <v>0</v>
      </c>
      <c r="X1151" s="1055">
        <f>SUM(X1152:X1156)</f>
        <v>0</v>
      </c>
      <c r="Y1151" s="1057">
        <f t="shared" si="308"/>
        <v>0</v>
      </c>
      <c r="Z1151" s="1055">
        <f>SUM(Z1152:Z1156)</f>
        <v>22029</v>
      </c>
      <c r="AA1151" s="1027">
        <f>M1151+Y1151</f>
        <v>26.666666666666664</v>
      </c>
      <c r="AB1151" s="1027">
        <f>N1151+Z1151</f>
        <v>715349</v>
      </c>
      <c r="AC1151" s="1027">
        <f>AA1151/K1151*100</f>
        <v>33.333333333333329</v>
      </c>
      <c r="AD1151" s="1027">
        <f>AB1151/L1151*100</f>
        <v>24.736126863813659</v>
      </c>
      <c r="AE1151" s="1041"/>
      <c r="AG1151" s="1004">
        <f>Q1151/O1151*100</f>
        <v>0</v>
      </c>
    </row>
    <row r="1152" spans="1:34" s="994" customFormat="1" ht="57" customHeight="1">
      <c r="A1152" s="512"/>
      <c r="B1152" s="1052"/>
      <c r="C1152" s="1052"/>
      <c r="D1152" s="1052"/>
      <c r="E1152" s="1052"/>
      <c r="F1152" s="1052"/>
      <c r="G1152" s="1052"/>
      <c r="H1152" s="1052"/>
      <c r="I1152" s="1058" t="s">
        <v>1421</v>
      </c>
      <c r="J1152" s="1052" t="s">
        <v>1422</v>
      </c>
      <c r="K1152" s="1054">
        <v>36</v>
      </c>
      <c r="L1152" s="1055">
        <v>813000</v>
      </c>
      <c r="M1152" s="1054">
        <v>3</v>
      </c>
      <c r="N1152" s="1055">
        <v>54600</v>
      </c>
      <c r="O1152" s="1054">
        <v>16</v>
      </c>
      <c r="P1152" s="1055">
        <v>320750</v>
      </c>
      <c r="Q1152" s="1057">
        <v>0</v>
      </c>
      <c r="R1152" s="1054">
        <v>0</v>
      </c>
      <c r="S1152" s="1027">
        <f>Q1152</f>
        <v>0</v>
      </c>
      <c r="T1152" s="1027">
        <v>0</v>
      </c>
      <c r="U1152" s="1027">
        <f>Q1152+S1152</f>
        <v>0</v>
      </c>
      <c r="V1152" s="1027">
        <v>0</v>
      </c>
      <c r="W1152" s="1027">
        <f>Q1152+S1152+U1152</f>
        <v>0</v>
      </c>
      <c r="X1152" s="1027">
        <v>0</v>
      </c>
      <c r="Y1152" s="1027">
        <f t="shared" si="308"/>
        <v>0</v>
      </c>
      <c r="Z1152" s="1027">
        <f t="shared" si="308"/>
        <v>0</v>
      </c>
      <c r="AA1152" s="1027">
        <f t="shared" ref="AA1152:AB1156" si="314">M1152+Y1152</f>
        <v>3</v>
      </c>
      <c r="AB1152" s="1027">
        <f t="shared" si="314"/>
        <v>54600</v>
      </c>
      <c r="AC1152" s="1027">
        <f t="shared" ref="AC1152:AD1156" si="315">AA1152/K1152*100</f>
        <v>8.3333333333333321</v>
      </c>
      <c r="AD1152" s="1027">
        <f t="shared" si="315"/>
        <v>6.7158671586715872</v>
      </c>
      <c r="AE1152" s="1041"/>
    </row>
    <row r="1153" spans="1:33" s="994" customFormat="1" ht="57" customHeight="1">
      <c r="A1153" s="512"/>
      <c r="B1153" s="1059"/>
      <c r="C1153" s="1059"/>
      <c r="D1153" s="1059"/>
      <c r="E1153" s="1059"/>
      <c r="F1153" s="1059"/>
      <c r="G1153" s="1059"/>
      <c r="H1153" s="1059"/>
      <c r="I1153" s="1060" t="s">
        <v>938</v>
      </c>
      <c r="J1153" s="1059" t="s">
        <v>1423</v>
      </c>
      <c r="K1153" s="1061">
        <v>6</v>
      </c>
      <c r="L1153" s="1062">
        <v>302338</v>
      </c>
      <c r="M1153" s="1061">
        <v>4</v>
      </c>
      <c r="N1153" s="1062">
        <v>62250</v>
      </c>
      <c r="O1153" s="1061">
        <v>2</v>
      </c>
      <c r="P1153" s="1062">
        <v>8250</v>
      </c>
      <c r="Q1153" s="1063">
        <v>0</v>
      </c>
      <c r="R1153" s="1061">
        <v>0</v>
      </c>
      <c r="S1153" s="1063">
        <f>Q1153</f>
        <v>0</v>
      </c>
      <c r="T1153" s="1063">
        <v>0</v>
      </c>
      <c r="U1153" s="1063">
        <f>Q1153+S1153</f>
        <v>0</v>
      </c>
      <c r="V1153" s="1063">
        <v>0</v>
      </c>
      <c r="W1153" s="1063">
        <f>Q1153+S1153+U1153</f>
        <v>0</v>
      </c>
      <c r="X1153" s="1063">
        <v>0</v>
      </c>
      <c r="Y1153" s="1063">
        <f t="shared" si="308"/>
        <v>0</v>
      </c>
      <c r="Z1153" s="1063">
        <f t="shared" si="308"/>
        <v>0</v>
      </c>
      <c r="AA1153" s="1063">
        <f t="shared" si="314"/>
        <v>4</v>
      </c>
      <c r="AB1153" s="1063">
        <f t="shared" si="314"/>
        <v>62250</v>
      </c>
      <c r="AC1153" s="1063">
        <f t="shared" si="315"/>
        <v>66.666666666666657</v>
      </c>
      <c r="AD1153" s="1063">
        <f t="shared" si="315"/>
        <v>20.589538860480655</v>
      </c>
      <c r="AE1153" s="1035"/>
    </row>
    <row r="1154" spans="1:33" s="994" customFormat="1" ht="57" customHeight="1">
      <c r="A1154" s="512"/>
      <c r="B1154" s="1047"/>
      <c r="C1154" s="1047"/>
      <c r="D1154" s="1047"/>
      <c r="E1154" s="1047"/>
      <c r="F1154" s="1047"/>
      <c r="G1154" s="1047"/>
      <c r="H1154" s="1047"/>
      <c r="I1154" s="1064" t="s">
        <v>258</v>
      </c>
      <c r="J1154" s="1047" t="s">
        <v>1424</v>
      </c>
      <c r="K1154" s="1065">
        <v>5</v>
      </c>
      <c r="L1154" s="1066">
        <v>617450</v>
      </c>
      <c r="M1154" s="1065">
        <v>1</v>
      </c>
      <c r="N1154" s="1066">
        <v>370726</v>
      </c>
      <c r="O1154" s="1065">
        <v>1</v>
      </c>
      <c r="P1154" s="1066">
        <v>10000</v>
      </c>
      <c r="Q1154" s="1067">
        <v>0</v>
      </c>
      <c r="R1154" s="1065">
        <v>0</v>
      </c>
      <c r="S1154" s="1068">
        <f>Q1154</f>
        <v>0</v>
      </c>
      <c r="T1154" s="1068">
        <v>0</v>
      </c>
      <c r="U1154" s="1068">
        <f>Q1154+S1154</f>
        <v>0</v>
      </c>
      <c r="V1154" s="1068">
        <v>0</v>
      </c>
      <c r="W1154" s="1068">
        <f>Q1154+S1154+U1154</f>
        <v>0</v>
      </c>
      <c r="X1154" s="1068">
        <v>0</v>
      </c>
      <c r="Y1154" s="1068">
        <f t="shared" si="308"/>
        <v>0</v>
      </c>
      <c r="Z1154" s="1068">
        <f t="shared" si="308"/>
        <v>0</v>
      </c>
      <c r="AA1154" s="1068">
        <f t="shared" si="314"/>
        <v>1</v>
      </c>
      <c r="AB1154" s="1068">
        <f t="shared" si="314"/>
        <v>370726</v>
      </c>
      <c r="AC1154" s="1068">
        <f t="shared" si="315"/>
        <v>20</v>
      </c>
      <c r="AD1154" s="1068">
        <f t="shared" si="315"/>
        <v>60.041460847032148</v>
      </c>
      <c r="AE1154" s="382"/>
    </row>
    <row r="1155" spans="1:33" s="994" customFormat="1" ht="57" customHeight="1">
      <c r="A1155" s="512"/>
      <c r="B1155" s="1052"/>
      <c r="C1155" s="1052"/>
      <c r="D1155" s="1052"/>
      <c r="E1155" s="1052"/>
      <c r="F1155" s="1052"/>
      <c r="G1155" s="1052"/>
      <c r="H1155" s="1052"/>
      <c r="I1155" s="1058" t="s">
        <v>224</v>
      </c>
      <c r="J1155" s="1052" t="s">
        <v>1425</v>
      </c>
      <c r="K1155" s="1054">
        <v>72</v>
      </c>
      <c r="L1155" s="1055">
        <v>966132</v>
      </c>
      <c r="M1155" s="1054">
        <v>12</v>
      </c>
      <c r="N1155" s="1055">
        <v>205744</v>
      </c>
      <c r="O1155" s="1054">
        <v>25</v>
      </c>
      <c r="P1155" s="1055">
        <v>176713</v>
      </c>
      <c r="Q1155" s="1057">
        <v>3</v>
      </c>
      <c r="R1155" s="1054">
        <v>22029</v>
      </c>
      <c r="S1155" s="1027">
        <f>Q1155</f>
        <v>3</v>
      </c>
      <c r="T1155" s="1027">
        <v>0</v>
      </c>
      <c r="U1155" s="1027">
        <f>Q1155+S1155</f>
        <v>6</v>
      </c>
      <c r="V1155" s="1027">
        <v>0</v>
      </c>
      <c r="W1155" s="1027">
        <f>Q1155+S1155+U1155</f>
        <v>12</v>
      </c>
      <c r="X1155" s="1027">
        <v>0</v>
      </c>
      <c r="Y1155" s="1027">
        <f t="shared" ref="Y1155:Z1156" si="316">Q1155</f>
        <v>3</v>
      </c>
      <c r="Z1155" s="1027">
        <f t="shared" si="316"/>
        <v>22029</v>
      </c>
      <c r="AA1155" s="1027">
        <f t="shared" si="314"/>
        <v>15</v>
      </c>
      <c r="AB1155" s="1027">
        <f t="shared" si="314"/>
        <v>227773</v>
      </c>
      <c r="AC1155" s="1027">
        <f t="shared" si="315"/>
        <v>20.833333333333336</v>
      </c>
      <c r="AD1155" s="1027">
        <f t="shared" si="315"/>
        <v>23.575763974280946</v>
      </c>
      <c r="AE1155" s="1041"/>
    </row>
    <row r="1156" spans="1:33" s="994" customFormat="1" ht="57" customHeight="1">
      <c r="A1156" s="512"/>
      <c r="B1156" s="1052"/>
      <c r="C1156" s="1052"/>
      <c r="D1156" s="1052"/>
      <c r="E1156" s="1052"/>
      <c r="F1156" s="1052"/>
      <c r="G1156" s="1052"/>
      <c r="H1156" s="1052"/>
      <c r="I1156" s="1058" t="s">
        <v>638</v>
      </c>
      <c r="J1156" s="1052" t="s">
        <v>1426</v>
      </c>
      <c r="K1156" s="1054">
        <v>5</v>
      </c>
      <c r="L1156" s="1055">
        <v>193000</v>
      </c>
      <c r="M1156" s="1054">
        <v>1</v>
      </c>
      <c r="N1156" s="1055">
        <v>0</v>
      </c>
      <c r="O1156" s="1054">
        <v>3</v>
      </c>
      <c r="P1156" s="1055">
        <v>28500</v>
      </c>
      <c r="Q1156" s="1057">
        <v>0</v>
      </c>
      <c r="R1156" s="1054">
        <v>0</v>
      </c>
      <c r="S1156" s="1027">
        <f>Q1156</f>
        <v>0</v>
      </c>
      <c r="T1156" s="1027">
        <v>0</v>
      </c>
      <c r="U1156" s="1027">
        <f>Q1156+S1156</f>
        <v>0</v>
      </c>
      <c r="V1156" s="1027">
        <v>0</v>
      </c>
      <c r="W1156" s="1027">
        <f>Q1156+S1156+U1156</f>
        <v>0</v>
      </c>
      <c r="X1156" s="1027">
        <v>0</v>
      </c>
      <c r="Y1156" s="1027">
        <f t="shared" si="316"/>
        <v>0</v>
      </c>
      <c r="Z1156" s="1027">
        <f t="shared" si="316"/>
        <v>0</v>
      </c>
      <c r="AA1156" s="1027">
        <f t="shared" si="314"/>
        <v>1</v>
      </c>
      <c r="AB1156" s="1027">
        <f t="shared" si="314"/>
        <v>0</v>
      </c>
      <c r="AC1156" s="1027">
        <f t="shared" si="315"/>
        <v>20</v>
      </c>
      <c r="AD1156" s="1027">
        <f t="shared" si="315"/>
        <v>0</v>
      </c>
      <c r="AE1156" s="1041"/>
    </row>
    <row r="1157" spans="1:33" s="994" customFormat="1" ht="10.5" customHeight="1">
      <c r="A1157" s="512"/>
      <c r="B1157" s="1052"/>
      <c r="C1157" s="1052"/>
      <c r="D1157" s="1052"/>
      <c r="E1157" s="1052"/>
      <c r="F1157" s="1052"/>
      <c r="G1157" s="1052"/>
      <c r="H1157" s="1052"/>
      <c r="I1157" s="1058"/>
      <c r="J1157" s="1052"/>
      <c r="K1157" s="1052"/>
      <c r="L1157" s="1069"/>
      <c r="M1157" s="1054"/>
      <c r="N1157" s="1055"/>
      <c r="O1157" s="1052"/>
      <c r="P1157" s="1055"/>
      <c r="Q1157" s="1054"/>
      <c r="R1157" s="1054"/>
      <c r="S1157" s="1054"/>
      <c r="T1157" s="1054"/>
      <c r="U1157" s="1054"/>
      <c r="V1157" s="1054"/>
      <c r="W1157" s="1054"/>
      <c r="X1157" s="1054"/>
      <c r="Y1157" s="1054"/>
      <c r="Z1157" s="1054"/>
      <c r="AA1157" s="1057"/>
      <c r="AB1157" s="1057"/>
      <c r="AC1157" s="1070"/>
      <c r="AD1157" s="1070"/>
      <c r="AE1157" s="1071"/>
    </row>
    <row r="1158" spans="1:33" s="1005" customFormat="1" ht="15.75" customHeight="1">
      <c r="A1158" s="1072"/>
      <c r="B1158" s="2560" t="s">
        <v>1427</v>
      </c>
      <c r="C1158" s="2560"/>
      <c r="D1158" s="2560"/>
      <c r="E1158" s="2560"/>
      <c r="F1158" s="2560"/>
      <c r="G1158" s="2560"/>
      <c r="H1158" s="2560"/>
      <c r="I1158" s="2560"/>
      <c r="J1158" s="2560"/>
      <c r="K1158" s="2560"/>
      <c r="L1158" s="2560"/>
      <c r="M1158" s="2560"/>
      <c r="N1158" s="2560"/>
      <c r="O1158" s="2560"/>
      <c r="P1158" s="2561"/>
      <c r="Q1158" s="1073"/>
      <c r="R1158" s="1073"/>
      <c r="S1158" s="1073"/>
      <c r="T1158" s="1073"/>
      <c r="U1158" s="1073"/>
      <c r="V1158" s="1073"/>
      <c r="W1158" s="1073"/>
      <c r="X1158" s="1073"/>
      <c r="Y1158" s="1074">
        <v>11.52</v>
      </c>
      <c r="Z1158" s="1075">
        <f>BE1083+BE1089+Z1114+Z1118+Z1124+Z1134+Z1139+Z1151</f>
        <v>12896566.999999998</v>
      </c>
      <c r="AA1158" s="1075">
        <v>0</v>
      </c>
      <c r="AB1158" s="1076">
        <v>0</v>
      </c>
      <c r="AC1158" s="1077">
        <f>(BH1083+BH1084+BH1089+BH1090+BH1091+BH1092+BH1093+BH1094+BH1095+BH1096+BH1097+BH1098+BH1099+BH1100+AC1114+AC1115+AC1118+AC1119+AC1120+AC1124+AC1125+AC1126+AC1134+AC1139+AC1151)/25</f>
        <v>40.182838276784992</v>
      </c>
      <c r="AD1158" s="1077">
        <f>(BI1083+BI1089+AD1114+AD1118+AD1124+AD1134+AD1139+AD1151)/8</f>
        <v>15.778815900218952</v>
      </c>
      <c r="AE1158" s="1078"/>
      <c r="AG1158" s="1005" t="s">
        <v>1428</v>
      </c>
    </row>
    <row r="1159" spans="1:33" s="1005" customFormat="1" ht="15.75" customHeight="1">
      <c r="A1159" s="1072"/>
      <c r="B1159" s="2560" t="s">
        <v>1429</v>
      </c>
      <c r="C1159" s="2560"/>
      <c r="D1159" s="2560"/>
      <c r="E1159" s="2560"/>
      <c r="F1159" s="2560"/>
      <c r="G1159" s="2560"/>
      <c r="H1159" s="2560"/>
      <c r="I1159" s="2560"/>
      <c r="J1159" s="2560"/>
      <c r="K1159" s="2560"/>
      <c r="L1159" s="2560"/>
      <c r="M1159" s="2560"/>
      <c r="N1159" s="2560"/>
      <c r="O1159" s="2560"/>
      <c r="P1159" s="2561"/>
      <c r="Q1159" s="1073"/>
      <c r="R1159" s="1073"/>
      <c r="S1159" s="1073"/>
      <c r="T1159" s="1073"/>
      <c r="U1159" s="1073"/>
      <c r="V1159" s="1073"/>
      <c r="W1159" s="1073"/>
      <c r="X1159" s="1073"/>
      <c r="Y1159" s="1073"/>
      <c r="Z1159" s="1073"/>
      <c r="AA1159" s="1073"/>
      <c r="AB1159" s="1073"/>
      <c r="AC1159" s="1073"/>
      <c r="AD1159" s="1073"/>
      <c r="AE1159" s="1078"/>
      <c r="AG1159" s="1006">
        <f>((BL1083+BL1089+AG1114+AI1118+AH1124+AG1134+AG1139+AG1151)/8)*100%</f>
        <v>11.523426238295968</v>
      </c>
    </row>
    <row r="1160" spans="1:33" s="1005" customFormat="1" ht="15.75" customHeight="1">
      <c r="A1160" s="1072"/>
      <c r="B1160" s="2560" t="s">
        <v>1430</v>
      </c>
      <c r="C1160" s="2560"/>
      <c r="D1160" s="2560"/>
      <c r="E1160" s="2560"/>
      <c r="F1160" s="2560"/>
      <c r="G1160" s="2560"/>
      <c r="H1160" s="2560"/>
      <c r="I1160" s="2560"/>
      <c r="J1160" s="2560"/>
      <c r="K1160" s="2560"/>
      <c r="L1160" s="2560"/>
      <c r="M1160" s="2560"/>
      <c r="N1160" s="2560"/>
      <c r="O1160" s="2560"/>
      <c r="P1160" s="2561"/>
      <c r="Q1160" s="1073"/>
      <c r="R1160" s="1073"/>
      <c r="S1160" s="1073"/>
      <c r="T1160" s="1073"/>
      <c r="U1160" s="1073"/>
      <c r="V1160" s="1073"/>
      <c r="W1160" s="1073"/>
      <c r="X1160" s="1073"/>
      <c r="Y1160" s="1073"/>
      <c r="Z1160" s="1073"/>
      <c r="AA1160" s="1073"/>
      <c r="AB1160" s="1073"/>
      <c r="AC1160" s="1073"/>
      <c r="AD1160" s="1073"/>
      <c r="AE1160" s="1078"/>
    </row>
    <row r="1161" spans="1:33" s="1005" customFormat="1" ht="15.75" customHeight="1">
      <c r="A1161" s="1072"/>
      <c r="B1161" s="2560" t="s">
        <v>1431</v>
      </c>
      <c r="C1161" s="2560"/>
      <c r="D1161" s="2560"/>
      <c r="E1161" s="2560"/>
      <c r="F1161" s="2560"/>
      <c r="G1161" s="2560"/>
      <c r="H1161" s="2560"/>
      <c r="I1161" s="2560"/>
      <c r="J1161" s="2560"/>
      <c r="K1161" s="2560"/>
      <c r="L1161" s="2560"/>
      <c r="M1161" s="2560"/>
      <c r="N1161" s="2560"/>
      <c r="O1161" s="2560"/>
      <c r="P1161" s="2561"/>
      <c r="Q1161" s="1073"/>
      <c r="R1161" s="1073"/>
      <c r="S1161" s="1073"/>
      <c r="T1161" s="1073"/>
      <c r="U1161" s="1073"/>
      <c r="V1161" s="1073"/>
      <c r="W1161" s="1073"/>
      <c r="X1161" s="1073"/>
      <c r="Y1161" s="1073"/>
      <c r="Z1161" s="1073"/>
      <c r="AA1161" s="1073"/>
      <c r="AB1161" s="1073"/>
      <c r="AC1161" s="1073"/>
      <c r="AD1161" s="1073"/>
      <c r="AE1161" s="1078"/>
    </row>
    <row r="1162" spans="1:33" s="1005" customFormat="1" ht="15.75" customHeight="1">
      <c r="A1162" s="1072"/>
      <c r="B1162" s="2560" t="s">
        <v>1432</v>
      </c>
      <c r="C1162" s="2560"/>
      <c r="D1162" s="2560"/>
      <c r="E1162" s="2560"/>
      <c r="F1162" s="2560"/>
      <c r="G1162" s="2560"/>
      <c r="H1162" s="2560"/>
      <c r="I1162" s="2560"/>
      <c r="J1162" s="2560"/>
      <c r="K1162" s="2560"/>
      <c r="L1162" s="2560"/>
      <c r="M1162" s="2560"/>
      <c r="N1162" s="2560"/>
      <c r="O1162" s="2560"/>
      <c r="P1162" s="2561"/>
      <c r="Q1162" s="1073"/>
      <c r="R1162" s="1073"/>
      <c r="S1162" s="1073"/>
      <c r="T1162" s="1073"/>
      <c r="U1162" s="1073"/>
      <c r="V1162" s="1073"/>
      <c r="W1162" s="1073"/>
      <c r="X1162" s="1073"/>
      <c r="Y1162" s="1073"/>
      <c r="Z1162" s="1073"/>
      <c r="AA1162" s="1073"/>
      <c r="AB1162" s="1073"/>
      <c r="AC1162" s="1073"/>
      <c r="AD1162" s="1073"/>
      <c r="AE1162" s="1078"/>
    </row>
    <row r="1163" spans="1:33" s="1005" customFormat="1" ht="15.75" customHeight="1">
      <c r="A1163" s="1079"/>
      <c r="B1163" s="2560" t="s">
        <v>1433</v>
      </c>
      <c r="C1163" s="2560"/>
      <c r="D1163" s="2560"/>
      <c r="E1163" s="2560"/>
      <c r="F1163" s="2560"/>
      <c r="G1163" s="2560"/>
      <c r="H1163" s="2560"/>
      <c r="I1163" s="2560"/>
      <c r="J1163" s="2560"/>
      <c r="K1163" s="2560"/>
      <c r="L1163" s="2560"/>
      <c r="M1163" s="2560"/>
      <c r="N1163" s="2560"/>
      <c r="O1163" s="2560"/>
      <c r="P1163" s="2561"/>
      <c r="Q1163" s="1073"/>
      <c r="R1163" s="1073"/>
      <c r="S1163" s="1073"/>
      <c r="T1163" s="1073"/>
      <c r="U1163" s="1073"/>
      <c r="V1163" s="1073"/>
      <c r="W1163" s="1073"/>
      <c r="X1163" s="1073"/>
      <c r="Y1163" s="1073"/>
      <c r="Z1163" s="1073"/>
      <c r="AA1163" s="1073"/>
      <c r="AB1163" s="1073"/>
      <c r="AC1163" s="1073"/>
      <c r="AD1163" s="1073"/>
      <c r="AE1163" s="1078"/>
    </row>
    <row r="1164" spans="1:33" s="656" customFormat="1" ht="20.25" customHeight="1">
      <c r="A1164" s="2512" t="s">
        <v>909</v>
      </c>
      <c r="B1164" s="2513"/>
      <c r="C1164" s="2513"/>
      <c r="D1164" s="2513"/>
      <c r="E1164" s="2513"/>
      <c r="F1164" s="2513"/>
      <c r="G1164" s="2513"/>
      <c r="H1164" s="2513"/>
      <c r="I1164" s="2513"/>
      <c r="J1164" s="2513"/>
      <c r="K1164" s="2513"/>
      <c r="L1164" s="2513"/>
      <c r="M1164" s="2513"/>
      <c r="N1164" s="2513"/>
      <c r="O1164" s="2513"/>
      <c r="P1164" s="2513"/>
      <c r="Q1164" s="2513"/>
      <c r="R1164" s="2513"/>
      <c r="S1164" s="2513"/>
      <c r="T1164" s="2513"/>
      <c r="U1164" s="2513"/>
      <c r="V1164" s="2513"/>
      <c r="W1164" s="2513"/>
      <c r="X1164" s="2513"/>
      <c r="Y1164" s="2513"/>
      <c r="Z1164" s="2513"/>
      <c r="AA1164" s="2513"/>
      <c r="AB1164" s="2513"/>
      <c r="AC1164" s="2513"/>
      <c r="AD1164" s="2513"/>
      <c r="AE1164" s="2514"/>
    </row>
    <row r="1165" spans="1:33" s="6" customFormat="1" ht="24.75" customHeight="1">
      <c r="A1165" s="439"/>
      <c r="B1165" s="2339" t="s">
        <v>802</v>
      </c>
      <c r="C1165" s="1899">
        <v>2</v>
      </c>
      <c r="D1165" s="1899" t="s">
        <v>107</v>
      </c>
      <c r="E1165" s="1899" t="s">
        <v>196</v>
      </c>
      <c r="F1165" s="1899" t="s">
        <v>65</v>
      </c>
      <c r="G1165" s="1899">
        <v>22</v>
      </c>
      <c r="H1165" s="1899"/>
      <c r="I1165" s="2562" t="s">
        <v>803</v>
      </c>
      <c r="J1165" s="657" t="s">
        <v>804</v>
      </c>
      <c r="K1165" s="597"/>
      <c r="L1165" s="658">
        <f>SUM(L1184:L1189)</f>
        <v>8060005.3200000003</v>
      </c>
      <c r="M1165" s="595"/>
      <c r="N1165" s="659">
        <f>SUM(N1184:N1189)</f>
        <v>2504517.1009999998</v>
      </c>
      <c r="O1165" s="385"/>
      <c r="P1165" s="660">
        <f>SUM(P1184:P1191)</f>
        <v>2080186.3242500001</v>
      </c>
      <c r="Q1165" s="661">
        <v>0</v>
      </c>
      <c r="R1165" s="662">
        <v>114013.14599999999</v>
      </c>
      <c r="S1165" s="385"/>
      <c r="T1165" s="59"/>
      <c r="U1165" s="59"/>
      <c r="V1165" s="59"/>
      <c r="W1165" s="59"/>
      <c r="X1165" s="59"/>
      <c r="Y1165" s="663">
        <f>Q1165+S1165+U1165+W1165</f>
        <v>0</v>
      </c>
      <c r="Z1165" s="664">
        <f>R1165</f>
        <v>114013.14599999999</v>
      </c>
      <c r="AA1165" s="59"/>
      <c r="AB1165" s="665">
        <f>N1165+Z1165</f>
        <v>2618530.247</v>
      </c>
      <c r="AC1165" s="1909"/>
      <c r="AD1165" s="664">
        <f>AB1165/L1165*100</f>
        <v>32.487946881404788</v>
      </c>
      <c r="AE1165" s="1895" t="s">
        <v>805</v>
      </c>
    </row>
    <row r="1166" spans="1:33" s="6" customFormat="1" ht="15">
      <c r="A1166" s="592"/>
      <c r="B1166" s="2383"/>
      <c r="C1166" s="1903"/>
      <c r="D1166" s="1903"/>
      <c r="E1166" s="1903"/>
      <c r="F1166" s="1903"/>
      <c r="G1166" s="1903"/>
      <c r="H1166" s="1903"/>
      <c r="I1166" s="2563"/>
      <c r="J1166" s="667" t="s">
        <v>806</v>
      </c>
      <c r="K1166" s="668">
        <v>84471.905973590474</v>
      </c>
      <c r="L1166" s="386"/>
      <c r="M1166" s="669">
        <v>81786</v>
      </c>
      <c r="N1166" s="670"/>
      <c r="O1166" s="668">
        <v>82280.52853597491</v>
      </c>
      <c r="P1166" s="387"/>
      <c r="Q1166" s="595"/>
      <c r="R1166" s="386"/>
      <c r="S1166" s="385"/>
      <c r="T1166" s="59"/>
      <c r="U1166" s="59"/>
      <c r="V1166" s="59"/>
      <c r="W1166" s="59"/>
      <c r="X1166" s="59"/>
      <c r="Y1166" s="59"/>
      <c r="Z1166" s="664"/>
      <c r="AA1166" s="59"/>
      <c r="AB1166" s="665"/>
      <c r="AC1166" s="1909"/>
      <c r="AD1166" s="664"/>
      <c r="AE1166" s="59"/>
    </row>
    <row r="1167" spans="1:33" s="6" customFormat="1" ht="15">
      <c r="A1167" s="592"/>
      <c r="B1167" s="671"/>
      <c r="C1167" s="1903"/>
      <c r="D1167" s="1903"/>
      <c r="E1167" s="1903"/>
      <c r="F1167" s="1903"/>
      <c r="G1167" s="1903"/>
      <c r="H1167" s="1903"/>
      <c r="I1167" s="666"/>
      <c r="J1167" s="667" t="s">
        <v>807</v>
      </c>
      <c r="K1167" s="668">
        <v>8665.7098756537853</v>
      </c>
      <c r="L1167" s="386"/>
      <c r="M1167" s="669">
        <v>8506</v>
      </c>
      <c r="N1167" s="670"/>
      <c r="O1167" s="668">
        <v>8466.0549479395941</v>
      </c>
      <c r="P1167" s="387"/>
      <c r="Q1167" s="595"/>
      <c r="R1167" s="386"/>
      <c r="S1167" s="385"/>
      <c r="T1167" s="59"/>
      <c r="U1167" s="59"/>
      <c r="V1167" s="59"/>
      <c r="W1167" s="59"/>
      <c r="X1167" s="59"/>
      <c r="Y1167" s="59"/>
      <c r="Z1167" s="664"/>
      <c r="AA1167" s="59"/>
      <c r="AB1167" s="665"/>
      <c r="AC1167" s="1909"/>
      <c r="AD1167" s="664"/>
      <c r="AE1167" s="59"/>
    </row>
    <row r="1168" spans="1:33" s="6" customFormat="1" ht="15">
      <c r="A1168" s="592"/>
      <c r="B1168" s="671"/>
      <c r="C1168" s="1903"/>
      <c r="D1168" s="1903"/>
      <c r="E1168" s="1903"/>
      <c r="F1168" s="1903"/>
      <c r="G1168" s="1903"/>
      <c r="H1168" s="1903"/>
      <c r="I1168" s="666"/>
      <c r="J1168" s="667" t="s">
        <v>808</v>
      </c>
      <c r="K1168" s="668">
        <v>41919.639869005288</v>
      </c>
      <c r="L1168" s="386"/>
      <c r="M1168" s="669">
        <v>40856</v>
      </c>
      <c r="N1168" s="670"/>
      <c r="O1168" s="668">
        <v>41794.132048669002</v>
      </c>
      <c r="P1168" s="387"/>
      <c r="Q1168" s="595"/>
      <c r="R1168" s="386"/>
      <c r="S1168" s="385"/>
      <c r="T1168" s="59"/>
      <c r="U1168" s="59"/>
      <c r="V1168" s="59"/>
      <c r="W1168" s="59"/>
      <c r="X1168" s="59"/>
      <c r="Y1168" s="59"/>
      <c r="Z1168" s="664"/>
      <c r="AA1168" s="59"/>
      <c r="AB1168" s="665"/>
      <c r="AC1168" s="1909"/>
      <c r="AD1168" s="664"/>
      <c r="AE1168" s="59"/>
    </row>
    <row r="1169" spans="1:31" s="6" customFormat="1" ht="15">
      <c r="A1169" s="592"/>
      <c r="B1169" s="671"/>
      <c r="C1169" s="1903"/>
      <c r="D1169" s="1903"/>
      <c r="E1169" s="1903"/>
      <c r="F1169" s="1903"/>
      <c r="G1169" s="1903"/>
      <c r="H1169" s="1903"/>
      <c r="I1169" s="666"/>
      <c r="J1169" s="667" t="s">
        <v>809</v>
      </c>
      <c r="K1169" s="668">
        <v>813634.56146209792</v>
      </c>
      <c r="L1169" s="386"/>
      <c r="M1169" s="669">
        <v>787857</v>
      </c>
      <c r="N1169" s="670"/>
      <c r="O1169" s="668">
        <v>796547.35583316814</v>
      </c>
      <c r="P1169" s="387"/>
      <c r="Q1169" s="595"/>
      <c r="R1169" s="386"/>
      <c r="S1169" s="385"/>
      <c r="T1169" s="59"/>
      <c r="U1169" s="59"/>
      <c r="V1169" s="59"/>
      <c r="W1169" s="59"/>
      <c r="X1169" s="59"/>
      <c r="Y1169" s="59"/>
      <c r="Z1169" s="664"/>
      <c r="AA1169" s="59"/>
      <c r="AB1169" s="665"/>
      <c r="AC1169" s="1909"/>
      <c r="AD1169" s="664"/>
      <c r="AE1169" s="59"/>
    </row>
    <row r="1170" spans="1:31" s="6" customFormat="1" ht="15">
      <c r="A1170" s="592"/>
      <c r="B1170" s="671"/>
      <c r="C1170" s="1903"/>
      <c r="D1170" s="1903"/>
      <c r="E1170" s="1903"/>
      <c r="F1170" s="1903"/>
      <c r="G1170" s="1903"/>
      <c r="H1170" s="1903"/>
      <c r="I1170" s="666"/>
      <c r="J1170" s="667" t="s">
        <v>810</v>
      </c>
      <c r="K1170" s="668">
        <v>114310.15814531251</v>
      </c>
      <c r="L1170" s="386"/>
      <c r="M1170" s="669">
        <v>97500</v>
      </c>
      <c r="N1170" s="670"/>
      <c r="O1170" s="668">
        <v>98745.412500000006</v>
      </c>
      <c r="P1170" s="387"/>
      <c r="Q1170" s="595"/>
      <c r="R1170" s="386"/>
      <c r="S1170" s="385"/>
      <c r="T1170" s="59"/>
      <c r="U1170" s="59"/>
      <c r="V1170" s="59"/>
      <c r="W1170" s="59"/>
      <c r="X1170" s="59"/>
      <c r="Y1170" s="59"/>
      <c r="Z1170" s="664"/>
      <c r="AA1170" s="59"/>
      <c r="AB1170" s="665"/>
      <c r="AC1170" s="1909"/>
      <c r="AD1170" s="664"/>
      <c r="AE1170" s="59"/>
    </row>
    <row r="1171" spans="1:31" s="6" customFormat="1" ht="25.5">
      <c r="A1171" s="592"/>
      <c r="B1171" s="671"/>
      <c r="C1171" s="1903"/>
      <c r="D1171" s="1903"/>
      <c r="E1171" s="1903"/>
      <c r="F1171" s="1903"/>
      <c r="G1171" s="1903"/>
      <c r="H1171" s="1903"/>
      <c r="I1171" s="666"/>
      <c r="J1171" s="667" t="s">
        <v>811</v>
      </c>
      <c r="K1171" s="668">
        <v>2107620.2392578125</v>
      </c>
      <c r="L1171" s="386"/>
      <c r="M1171" s="669">
        <v>1734200</v>
      </c>
      <c r="N1171" s="670"/>
      <c r="O1171" s="668">
        <v>1079101.5625</v>
      </c>
      <c r="P1171" s="387"/>
      <c r="Q1171" s="595"/>
      <c r="R1171" s="386"/>
      <c r="S1171" s="385"/>
      <c r="T1171" s="59"/>
      <c r="U1171" s="59"/>
      <c r="V1171" s="59"/>
      <c r="W1171" s="59"/>
      <c r="X1171" s="59"/>
      <c r="Y1171" s="59"/>
      <c r="Z1171" s="664"/>
      <c r="AA1171" s="59"/>
      <c r="AB1171" s="665"/>
      <c r="AC1171" s="1909"/>
      <c r="AD1171" s="664"/>
      <c r="AE1171" s="59"/>
    </row>
    <row r="1172" spans="1:31" s="6" customFormat="1" ht="15">
      <c r="A1172" s="592"/>
      <c r="B1172" s="671"/>
      <c r="C1172" s="1903"/>
      <c r="D1172" s="1903"/>
      <c r="E1172" s="1903"/>
      <c r="F1172" s="1903"/>
      <c r="G1172" s="1903"/>
      <c r="H1172" s="1903"/>
      <c r="I1172" s="666"/>
      <c r="J1172" s="667" t="s">
        <v>812</v>
      </c>
      <c r="K1172" s="668">
        <v>157021.12219705051</v>
      </c>
      <c r="L1172" s="386"/>
      <c r="M1172" s="669">
        <v>157266</v>
      </c>
      <c r="N1172" s="670"/>
      <c r="O1172" s="668">
        <v>152403.154221</v>
      </c>
      <c r="P1172" s="387"/>
      <c r="Q1172" s="595"/>
      <c r="R1172" s="386"/>
      <c r="S1172" s="385"/>
      <c r="T1172" s="59"/>
      <c r="U1172" s="59"/>
      <c r="V1172" s="59"/>
      <c r="W1172" s="59"/>
      <c r="X1172" s="59"/>
      <c r="Y1172" s="59"/>
      <c r="Z1172" s="664"/>
      <c r="AA1172" s="59"/>
      <c r="AB1172" s="665"/>
      <c r="AC1172" s="1909"/>
      <c r="AD1172" s="664"/>
      <c r="AE1172" s="59"/>
    </row>
    <row r="1173" spans="1:31" s="6" customFormat="1" ht="27.75" customHeight="1">
      <c r="A1173" s="592"/>
      <c r="B1173" s="671"/>
      <c r="C1173" s="1903"/>
      <c r="D1173" s="1903"/>
      <c r="E1173" s="1903"/>
      <c r="F1173" s="1903"/>
      <c r="G1173" s="1903"/>
      <c r="H1173" s="1903"/>
      <c r="I1173" s="666"/>
      <c r="J1173" s="667" t="s">
        <v>813</v>
      </c>
      <c r="K1173" s="672"/>
      <c r="L1173" s="386"/>
      <c r="M1173" s="595"/>
      <c r="N1173" s="670"/>
      <c r="O1173" s="668"/>
      <c r="P1173" s="387"/>
      <c r="Q1173" s="595"/>
      <c r="R1173" s="386"/>
      <c r="S1173" s="385"/>
      <c r="T1173" s="59"/>
      <c r="U1173" s="59"/>
      <c r="V1173" s="59"/>
      <c r="W1173" s="59"/>
      <c r="X1173" s="59"/>
      <c r="Y1173" s="59"/>
      <c r="Z1173" s="664"/>
      <c r="AA1173" s="59"/>
      <c r="AB1173" s="665"/>
      <c r="AC1173" s="1909"/>
      <c r="AD1173" s="664"/>
      <c r="AE1173" s="59"/>
    </row>
    <row r="1174" spans="1:31" s="6" customFormat="1" ht="15">
      <c r="A1174" s="592"/>
      <c r="B1174" s="671"/>
      <c r="C1174" s="1903"/>
      <c r="D1174" s="1903"/>
      <c r="E1174" s="1903"/>
      <c r="F1174" s="1903"/>
      <c r="G1174" s="1903"/>
      <c r="H1174" s="1903"/>
      <c r="I1174" s="666"/>
      <c r="J1174" s="667" t="s">
        <v>814</v>
      </c>
      <c r="K1174" s="668">
        <v>1397267.2210386631</v>
      </c>
      <c r="L1174" s="386"/>
      <c r="M1174" s="669">
        <v>1354022</v>
      </c>
      <c r="N1174" s="670"/>
      <c r="O1174" s="668">
        <v>1367562.0584000191</v>
      </c>
      <c r="P1174" s="387"/>
      <c r="Q1174" s="595"/>
      <c r="R1174" s="386"/>
      <c r="S1174" s="385"/>
      <c r="T1174" s="59"/>
      <c r="U1174" s="59"/>
      <c r="V1174" s="59"/>
      <c r="W1174" s="59"/>
      <c r="X1174" s="59"/>
      <c r="Y1174" s="59"/>
      <c r="Z1174" s="664"/>
      <c r="AA1174" s="59"/>
      <c r="AB1174" s="665"/>
      <c r="AC1174" s="1909"/>
      <c r="AD1174" s="664"/>
      <c r="AE1174" s="59"/>
    </row>
    <row r="1175" spans="1:31" s="6" customFormat="1" ht="15">
      <c r="A1175" s="592"/>
      <c r="B1175" s="671"/>
      <c r="C1175" s="1903"/>
      <c r="D1175" s="1903"/>
      <c r="E1175" s="1903"/>
      <c r="F1175" s="1903"/>
      <c r="G1175" s="1903"/>
      <c r="H1175" s="1903"/>
      <c r="I1175" s="666"/>
      <c r="J1175" s="667" t="s">
        <v>815</v>
      </c>
      <c r="K1175" s="668">
        <v>55113.991256118708</v>
      </c>
      <c r="L1175" s="386"/>
      <c r="M1175" s="669">
        <v>40520</v>
      </c>
      <c r="N1175" s="670"/>
      <c r="O1175" s="668">
        <v>40925.199999999997</v>
      </c>
      <c r="P1175" s="387"/>
      <c r="Q1175" s="595"/>
      <c r="R1175" s="386"/>
      <c r="S1175" s="385"/>
      <c r="T1175" s="59"/>
      <c r="U1175" s="59"/>
      <c r="V1175" s="59"/>
      <c r="W1175" s="59"/>
      <c r="X1175" s="59"/>
      <c r="Y1175" s="59"/>
      <c r="Z1175" s="664"/>
      <c r="AA1175" s="59"/>
      <c r="AB1175" s="665"/>
      <c r="AC1175" s="1909"/>
      <c r="AD1175" s="664"/>
      <c r="AE1175" s="59"/>
    </row>
    <row r="1176" spans="1:31" s="6" customFormat="1" ht="15">
      <c r="A1176" s="592"/>
      <c r="B1176" s="671"/>
      <c r="C1176" s="1903"/>
      <c r="D1176" s="1903"/>
      <c r="E1176" s="1903"/>
      <c r="F1176" s="1903"/>
      <c r="G1176" s="1903"/>
      <c r="H1176" s="1903"/>
      <c r="I1176" s="666"/>
      <c r="J1176" s="667" t="s">
        <v>816</v>
      </c>
      <c r="K1176" s="668">
        <v>50704.49636868095</v>
      </c>
      <c r="L1176" s="386"/>
      <c r="M1176" s="669">
        <v>44958</v>
      </c>
      <c r="N1176" s="670"/>
      <c r="O1176" s="668">
        <v>41708.836600000002</v>
      </c>
      <c r="P1176" s="387"/>
      <c r="Q1176" s="595"/>
      <c r="R1176" s="386"/>
      <c r="S1176" s="385"/>
      <c r="T1176" s="59"/>
      <c r="U1176" s="59"/>
      <c r="V1176" s="59"/>
      <c r="W1176" s="59"/>
      <c r="X1176" s="59"/>
      <c r="Y1176" s="59"/>
      <c r="Z1176" s="664"/>
      <c r="AA1176" s="59"/>
      <c r="AB1176" s="665"/>
      <c r="AC1176" s="1909"/>
      <c r="AD1176" s="664"/>
      <c r="AE1176" s="59"/>
    </row>
    <row r="1177" spans="1:31" s="6" customFormat="1" ht="27.75" customHeight="1">
      <c r="A1177" s="592"/>
      <c r="B1177" s="671"/>
      <c r="C1177" s="1903"/>
      <c r="D1177" s="1903"/>
      <c r="E1177" s="1903"/>
      <c r="F1177" s="1903"/>
      <c r="G1177" s="1903"/>
      <c r="H1177" s="1903"/>
      <c r="I1177" s="666"/>
      <c r="J1177" s="667" t="s">
        <v>817</v>
      </c>
      <c r="K1177" s="668">
        <v>872623.06716810004</v>
      </c>
      <c r="L1177" s="386"/>
      <c r="M1177" s="669">
        <v>965301</v>
      </c>
      <c r="N1177" s="670"/>
      <c r="O1177" s="668">
        <v>974954.01</v>
      </c>
      <c r="P1177" s="387"/>
      <c r="Q1177" s="595"/>
      <c r="R1177" s="386"/>
      <c r="S1177" s="385"/>
      <c r="T1177" s="59"/>
      <c r="U1177" s="59"/>
      <c r="V1177" s="59"/>
      <c r="W1177" s="59"/>
      <c r="X1177" s="59"/>
      <c r="Y1177" s="59"/>
      <c r="Z1177" s="664"/>
      <c r="AA1177" s="59"/>
      <c r="AB1177" s="665"/>
      <c r="AC1177" s="1909"/>
      <c r="AD1177" s="664"/>
      <c r="AE1177" s="59"/>
    </row>
    <row r="1178" spans="1:31" s="6" customFormat="1" ht="27.75" customHeight="1">
      <c r="A1178" s="592"/>
      <c r="B1178" s="671"/>
      <c r="C1178" s="1903"/>
      <c r="D1178" s="1903"/>
      <c r="E1178" s="1903"/>
      <c r="F1178" s="1903"/>
      <c r="G1178" s="1903"/>
      <c r="H1178" s="1903"/>
      <c r="I1178" s="666"/>
      <c r="J1178" s="667" t="s">
        <v>818</v>
      </c>
      <c r="K1178" s="668">
        <v>47152.940234941409</v>
      </c>
      <c r="L1178" s="386"/>
      <c r="M1178" s="669">
        <v>71162</v>
      </c>
      <c r="N1178" s="670"/>
      <c r="O1178" s="668">
        <v>71174.441699999996</v>
      </c>
      <c r="P1178" s="387"/>
      <c r="Q1178" s="595"/>
      <c r="R1178" s="386"/>
      <c r="S1178" s="385"/>
      <c r="T1178" s="59"/>
      <c r="U1178" s="59"/>
      <c r="V1178" s="59"/>
      <c r="W1178" s="59"/>
      <c r="X1178" s="59"/>
      <c r="Y1178" s="59"/>
      <c r="Z1178" s="664"/>
      <c r="AA1178" s="59"/>
      <c r="AB1178" s="665"/>
      <c r="AC1178" s="1909"/>
      <c r="AD1178" s="664"/>
      <c r="AE1178" s="59"/>
    </row>
    <row r="1179" spans="1:31" s="6" customFormat="1" ht="27.75" customHeight="1">
      <c r="A1179" s="592"/>
      <c r="B1179" s="671"/>
      <c r="C1179" s="1903"/>
      <c r="D1179" s="1903"/>
      <c r="E1179" s="1903"/>
      <c r="F1179" s="1903"/>
      <c r="G1179" s="1903"/>
      <c r="H1179" s="1903"/>
      <c r="I1179" s="666"/>
      <c r="J1179" s="667" t="s">
        <v>819</v>
      </c>
      <c r="K1179" s="668">
        <v>1686623</v>
      </c>
      <c r="L1179" s="386"/>
      <c r="M1179" s="669">
        <v>1886261</v>
      </c>
      <c r="N1179" s="670"/>
      <c r="O1179" s="668">
        <v>1894581.297271</v>
      </c>
      <c r="P1179" s="387"/>
      <c r="Q1179" s="595"/>
      <c r="R1179" s="386"/>
      <c r="S1179" s="385"/>
      <c r="T1179" s="59"/>
      <c r="U1179" s="59"/>
      <c r="V1179" s="59"/>
      <c r="W1179" s="59"/>
      <c r="X1179" s="59"/>
      <c r="Y1179" s="59"/>
      <c r="Z1179" s="664"/>
      <c r="AA1179" s="59"/>
      <c r="AB1179" s="665"/>
      <c r="AC1179" s="1909"/>
      <c r="AD1179" s="664"/>
      <c r="AE1179" s="59"/>
    </row>
    <row r="1180" spans="1:31" s="6" customFormat="1" ht="15">
      <c r="A1180" s="592"/>
      <c r="B1180" s="671"/>
      <c r="C1180" s="1903"/>
      <c r="D1180" s="1903"/>
      <c r="E1180" s="1903"/>
      <c r="F1180" s="1903"/>
      <c r="G1180" s="1903"/>
      <c r="H1180" s="1903"/>
      <c r="I1180" s="666"/>
      <c r="J1180" s="667" t="s">
        <v>820</v>
      </c>
      <c r="K1180" s="668">
        <v>64771.212906283334</v>
      </c>
      <c r="L1180" s="386"/>
      <c r="M1180" s="669">
        <v>92447</v>
      </c>
      <c r="N1180" s="670"/>
      <c r="O1180" s="653">
        <v>94227.657099999997</v>
      </c>
      <c r="P1180" s="387"/>
      <c r="Q1180" s="595"/>
      <c r="R1180" s="386"/>
      <c r="S1180" s="385"/>
      <c r="T1180" s="59"/>
      <c r="U1180" s="59"/>
      <c r="V1180" s="59"/>
      <c r="W1180" s="59"/>
      <c r="X1180" s="59"/>
      <c r="Y1180" s="59"/>
      <c r="Z1180" s="664"/>
      <c r="AA1180" s="59"/>
      <c r="AB1180" s="665"/>
      <c r="AC1180" s="1909"/>
      <c r="AD1180" s="664"/>
      <c r="AE1180" s="59"/>
    </row>
    <row r="1181" spans="1:31" s="6" customFormat="1" ht="15">
      <c r="A1181" s="592"/>
      <c r="B1181" s="671"/>
      <c r="C1181" s="1903"/>
      <c r="D1181" s="1903"/>
      <c r="E1181" s="1903"/>
      <c r="F1181" s="1903"/>
      <c r="G1181" s="1903"/>
      <c r="H1181" s="1903"/>
      <c r="I1181" s="666"/>
      <c r="J1181" s="667" t="s">
        <v>821</v>
      </c>
      <c r="K1181" s="668">
        <v>727012.60580418748</v>
      </c>
      <c r="L1181" s="386"/>
      <c r="M1181" s="669">
        <v>751725</v>
      </c>
      <c r="N1181" s="670"/>
      <c r="O1181" s="654">
        <v>628020.82349999994</v>
      </c>
      <c r="P1181" s="387"/>
      <c r="Q1181" s="595"/>
      <c r="R1181" s="386"/>
      <c r="S1181" s="385"/>
      <c r="T1181" s="59"/>
      <c r="U1181" s="59"/>
      <c r="V1181" s="59"/>
      <c r="W1181" s="59"/>
      <c r="X1181" s="59"/>
      <c r="Y1181" s="59"/>
      <c r="Z1181" s="664"/>
      <c r="AA1181" s="59"/>
      <c r="AB1181" s="665"/>
      <c r="AC1181" s="1909"/>
      <c r="AD1181" s="664"/>
      <c r="AE1181" s="59"/>
    </row>
    <row r="1182" spans="1:31" s="6" customFormat="1" ht="15">
      <c r="A1182" s="592"/>
      <c r="B1182" s="671"/>
      <c r="C1182" s="1903"/>
      <c r="D1182" s="1903"/>
      <c r="E1182" s="1903"/>
      <c r="F1182" s="1903"/>
      <c r="G1182" s="1903"/>
      <c r="H1182" s="1903"/>
      <c r="I1182" s="666"/>
      <c r="J1182" s="667" t="s">
        <v>822</v>
      </c>
      <c r="K1182" s="668">
        <v>341726.51581408113</v>
      </c>
      <c r="L1182" s="386"/>
      <c r="M1182" s="669">
        <v>503243</v>
      </c>
      <c r="N1182" s="670"/>
      <c r="O1182" s="654">
        <v>334549.88944993058</v>
      </c>
      <c r="P1182" s="387"/>
      <c r="Q1182" s="595"/>
      <c r="R1182" s="386"/>
      <c r="S1182" s="385"/>
      <c r="T1182" s="59"/>
      <c r="U1182" s="59"/>
      <c r="V1182" s="59"/>
      <c r="W1182" s="59"/>
      <c r="X1182" s="59"/>
      <c r="Y1182" s="59"/>
      <c r="Z1182" s="664"/>
      <c r="AA1182" s="59"/>
      <c r="AB1182" s="665"/>
      <c r="AC1182" s="1909"/>
      <c r="AD1182" s="664"/>
      <c r="AE1182" s="59"/>
    </row>
    <row r="1183" spans="1:31" s="6" customFormat="1" ht="15">
      <c r="A1183" s="59"/>
      <c r="B1183" s="673"/>
      <c r="C1183" s="1900"/>
      <c r="D1183" s="1900"/>
      <c r="E1183" s="1900"/>
      <c r="F1183" s="1900"/>
      <c r="G1183" s="1900"/>
      <c r="H1183" s="1900"/>
      <c r="I1183" s="674"/>
      <c r="J1183" s="667" t="s">
        <v>823</v>
      </c>
      <c r="K1183" s="668">
        <v>716016.31721855025</v>
      </c>
      <c r="L1183" s="386"/>
      <c r="M1183" s="669">
        <v>863392</v>
      </c>
      <c r="N1183" s="670"/>
      <c r="O1183" s="654">
        <v>694958.38324776001</v>
      </c>
      <c r="P1183" s="387"/>
      <c r="Q1183" s="595"/>
      <c r="R1183" s="386"/>
      <c r="S1183" s="385"/>
      <c r="T1183" s="59"/>
      <c r="U1183" s="59"/>
      <c r="V1183" s="59"/>
      <c r="W1183" s="59"/>
      <c r="X1183" s="59"/>
      <c r="Y1183" s="59"/>
      <c r="Z1183" s="664"/>
      <c r="AA1183" s="59"/>
      <c r="AB1183" s="665"/>
      <c r="AC1183" s="1909"/>
      <c r="AD1183" s="664"/>
      <c r="AE1183" s="59"/>
    </row>
    <row r="1184" spans="1:31" s="6" customFormat="1" ht="27.75" customHeight="1">
      <c r="A1184" s="59"/>
      <c r="B1184" s="634"/>
      <c r="C1184" s="1900"/>
      <c r="D1184" s="1900"/>
      <c r="E1184" s="1900"/>
      <c r="F1184" s="1900"/>
      <c r="G1184" s="1900"/>
      <c r="H1184" s="1900"/>
      <c r="I1184" s="675" t="s">
        <v>824</v>
      </c>
      <c r="J1184" s="676" t="s">
        <v>825</v>
      </c>
      <c r="K1184" s="672">
        <v>60</v>
      </c>
      <c r="L1184" s="672">
        <v>1985984</v>
      </c>
      <c r="M1184" s="677">
        <v>24</v>
      </c>
      <c r="N1184" s="677">
        <f>320364.822+255030.078</f>
        <v>575394.9</v>
      </c>
      <c r="O1184" s="677">
        <v>12</v>
      </c>
      <c r="P1184" s="660">
        <v>207376.323</v>
      </c>
      <c r="Q1184" s="661">
        <v>3</v>
      </c>
      <c r="R1184" s="662">
        <v>19455.633999999998</v>
      </c>
      <c r="S1184" s="385"/>
      <c r="T1184" s="59"/>
      <c r="U1184" s="59"/>
      <c r="V1184" s="59"/>
      <c r="W1184" s="59"/>
      <c r="X1184" s="59"/>
      <c r="Y1184" s="663">
        <f t="shared" ref="Y1184:Y1213" si="317">Q1184+S1184+U1184+W1184</f>
        <v>3</v>
      </c>
      <c r="Z1184" s="664">
        <f t="shared" ref="Z1184:Z1213" si="318">R1184</f>
        <v>19455.633999999998</v>
      </c>
      <c r="AA1184" s="678">
        <f>M1184+Y1184</f>
        <v>27</v>
      </c>
      <c r="AB1184" s="665">
        <f>N1184+Z1184</f>
        <v>594850.53399999999</v>
      </c>
      <c r="AC1184" s="679">
        <f t="shared" ref="AC1184:AD1199" si="319">AA1184/K1184*100</f>
        <v>45</v>
      </c>
      <c r="AD1184" s="664">
        <f t="shared" si="319"/>
        <v>29.952433352937387</v>
      </c>
      <c r="AE1184" s="1901" t="s">
        <v>826</v>
      </c>
    </row>
    <row r="1185" spans="1:31" s="6" customFormat="1" ht="27.75" customHeight="1">
      <c r="A1185" s="59"/>
      <c r="B1185" s="634"/>
      <c r="C1185" s="1900"/>
      <c r="D1185" s="1900"/>
      <c r="E1185" s="1900"/>
      <c r="F1185" s="1900"/>
      <c r="G1185" s="1900"/>
      <c r="H1185" s="1900"/>
      <c r="I1185" s="680" t="s">
        <v>827</v>
      </c>
      <c r="J1185" s="384" t="s">
        <v>828</v>
      </c>
      <c r="K1185" s="681">
        <v>68000</v>
      </c>
      <c r="L1185" s="677">
        <f>1424584627/1000</f>
        <v>1424584.6270000001</v>
      </c>
      <c r="M1185" s="682">
        <v>22000</v>
      </c>
      <c r="N1185" s="677">
        <f>238514.212+275287.9</f>
        <v>513802.11200000002</v>
      </c>
      <c r="O1185" s="682">
        <v>11000</v>
      </c>
      <c r="P1185" s="660">
        <v>227091.84400000001</v>
      </c>
      <c r="Q1185" s="661">
        <v>0</v>
      </c>
      <c r="R1185" s="662">
        <v>4542</v>
      </c>
      <c r="S1185" s="385"/>
      <c r="T1185" s="59"/>
      <c r="U1185" s="59"/>
      <c r="V1185" s="59"/>
      <c r="W1185" s="59"/>
      <c r="X1185" s="59"/>
      <c r="Y1185" s="61">
        <f t="shared" si="317"/>
        <v>0</v>
      </c>
      <c r="Z1185" s="664">
        <f t="shared" si="318"/>
        <v>4542</v>
      </c>
      <c r="AA1185" s="678">
        <f t="shared" ref="AA1185:AB1212" si="320">M1185+Y1185</f>
        <v>22000</v>
      </c>
      <c r="AB1185" s="665">
        <f t="shared" si="320"/>
        <v>518344.11200000002</v>
      </c>
      <c r="AC1185" s="679">
        <f t="shared" si="319"/>
        <v>32.352941176470587</v>
      </c>
      <c r="AD1185" s="664">
        <f t="shared" si="319"/>
        <v>36.385631444835184</v>
      </c>
      <c r="AE1185" s="1901" t="s">
        <v>826</v>
      </c>
    </row>
    <row r="1186" spans="1:31" s="6" customFormat="1" ht="27.75" customHeight="1">
      <c r="A1186" s="59"/>
      <c r="B1186" s="634"/>
      <c r="C1186" s="1900"/>
      <c r="D1186" s="1900"/>
      <c r="E1186" s="1900"/>
      <c r="F1186" s="1900"/>
      <c r="G1186" s="1900"/>
      <c r="H1186" s="1900"/>
      <c r="I1186" s="680" t="s">
        <v>829</v>
      </c>
      <c r="J1186" s="634" t="s">
        <v>830</v>
      </c>
      <c r="K1186" s="681">
        <v>35000</v>
      </c>
      <c r="L1186" s="677">
        <f>2208956866/1000</f>
        <v>2208956.8659999999</v>
      </c>
      <c r="M1186" s="683">
        <v>16361</v>
      </c>
      <c r="N1186" s="677">
        <f>343324.18+328259.571</f>
        <v>671583.75099999993</v>
      </c>
      <c r="O1186" s="682">
        <v>4000</v>
      </c>
      <c r="P1186" s="660">
        <v>375310.80800000002</v>
      </c>
      <c r="Q1186" s="661">
        <v>2900</v>
      </c>
      <c r="R1186" s="662">
        <v>26576.936000000002</v>
      </c>
      <c r="S1186" s="385"/>
      <c r="T1186" s="59"/>
      <c r="U1186" s="59"/>
      <c r="V1186" s="59"/>
      <c r="W1186" s="59"/>
      <c r="X1186" s="59"/>
      <c r="Y1186" s="663">
        <f t="shared" si="317"/>
        <v>2900</v>
      </c>
      <c r="Z1186" s="664">
        <f t="shared" si="318"/>
        <v>26576.936000000002</v>
      </c>
      <c r="AA1186" s="678">
        <f t="shared" si="320"/>
        <v>19261</v>
      </c>
      <c r="AB1186" s="665">
        <f t="shared" si="320"/>
        <v>698160.68699999992</v>
      </c>
      <c r="AC1186" s="679">
        <f t="shared" si="319"/>
        <v>55.031428571428577</v>
      </c>
      <c r="AD1186" s="664">
        <f t="shared" si="319"/>
        <v>31.605899496998141</v>
      </c>
      <c r="AE1186" s="1901" t="s">
        <v>826</v>
      </c>
    </row>
    <row r="1187" spans="1:31" s="6" customFormat="1" ht="27.75" customHeight="1">
      <c r="A1187" s="59"/>
      <c r="B1187" s="634"/>
      <c r="C1187" s="1900"/>
      <c r="D1187" s="1900"/>
      <c r="E1187" s="1900"/>
      <c r="F1187" s="1900"/>
      <c r="G1187" s="1900"/>
      <c r="H1187" s="1900"/>
      <c r="I1187" s="680" t="s">
        <v>831</v>
      </c>
      <c r="J1187" s="384" t="s">
        <v>832</v>
      </c>
      <c r="K1187" s="634">
        <v>740</v>
      </c>
      <c r="L1187" s="677">
        <f>1319818845/1000</f>
        <v>1319818.845</v>
      </c>
      <c r="M1187" s="677">
        <v>160</v>
      </c>
      <c r="N1187" s="677">
        <f>222123.296+208458.082</f>
        <v>430581.37800000003</v>
      </c>
      <c r="O1187" s="677">
        <v>80</v>
      </c>
      <c r="P1187" s="660">
        <v>173912.93599999999</v>
      </c>
      <c r="Q1187" s="661">
        <v>150</v>
      </c>
      <c r="R1187" s="662">
        <v>19816.7</v>
      </c>
      <c r="S1187" s="385"/>
      <c r="T1187" s="59"/>
      <c r="U1187" s="59"/>
      <c r="V1187" s="59"/>
      <c r="W1187" s="59"/>
      <c r="X1187" s="59"/>
      <c r="Y1187" s="663">
        <f t="shared" si="317"/>
        <v>150</v>
      </c>
      <c r="Z1187" s="664">
        <f t="shared" si="318"/>
        <v>19816.7</v>
      </c>
      <c r="AA1187" s="678">
        <f t="shared" si="320"/>
        <v>310</v>
      </c>
      <c r="AB1187" s="665">
        <f t="shared" si="320"/>
        <v>450398.07800000004</v>
      </c>
      <c r="AC1187" s="679">
        <f t="shared" si="319"/>
        <v>41.891891891891895</v>
      </c>
      <c r="AD1187" s="664">
        <f t="shared" si="319"/>
        <v>34.125749886530834</v>
      </c>
      <c r="AE1187" s="1901" t="s">
        <v>826</v>
      </c>
    </row>
    <row r="1188" spans="1:31" s="6" customFormat="1" ht="27.75" customHeight="1">
      <c r="A1188" s="59"/>
      <c r="B1188" s="634"/>
      <c r="C1188" s="1900"/>
      <c r="D1188" s="1900"/>
      <c r="E1188" s="1900"/>
      <c r="F1188" s="1900"/>
      <c r="G1188" s="1900"/>
      <c r="H1188" s="1900"/>
      <c r="I1188" s="680" t="s">
        <v>833</v>
      </c>
      <c r="J1188" s="384" t="s">
        <v>834</v>
      </c>
      <c r="K1188" s="681">
        <v>31000</v>
      </c>
      <c r="L1188" s="677">
        <f>687301760/1000</f>
        <v>687301.76</v>
      </c>
      <c r="M1188" s="682">
        <v>8000</v>
      </c>
      <c r="N1188" s="677">
        <f>137619.31+88649.03</f>
        <v>226268.34</v>
      </c>
      <c r="O1188" s="682">
        <v>1500</v>
      </c>
      <c r="P1188" s="660">
        <v>113528.833</v>
      </c>
      <c r="Q1188" s="661">
        <v>0</v>
      </c>
      <c r="R1188" s="662">
        <v>5070.7510000000002</v>
      </c>
      <c r="S1188" s="385"/>
      <c r="T1188" s="59"/>
      <c r="U1188" s="59"/>
      <c r="V1188" s="59"/>
      <c r="W1188" s="59"/>
      <c r="X1188" s="59"/>
      <c r="Y1188" s="663">
        <f t="shared" si="317"/>
        <v>0</v>
      </c>
      <c r="Z1188" s="664">
        <f t="shared" si="318"/>
        <v>5070.7510000000002</v>
      </c>
      <c r="AA1188" s="678">
        <f t="shared" si="320"/>
        <v>8000</v>
      </c>
      <c r="AB1188" s="665">
        <f t="shared" si="320"/>
        <v>231339.09099999999</v>
      </c>
      <c r="AC1188" s="679">
        <f t="shared" si="319"/>
        <v>25.806451612903224</v>
      </c>
      <c r="AD1188" s="664">
        <f t="shared" si="319"/>
        <v>33.65902787736205</v>
      </c>
      <c r="AE1188" s="1901" t="s">
        <v>826</v>
      </c>
    </row>
    <row r="1189" spans="1:31" s="6" customFormat="1" ht="27.75" customHeight="1">
      <c r="A1189" s="59"/>
      <c r="B1189" s="634"/>
      <c r="C1189" s="1900"/>
      <c r="D1189" s="1900"/>
      <c r="E1189" s="1900"/>
      <c r="F1189" s="1900"/>
      <c r="G1189" s="1900"/>
      <c r="H1189" s="1900"/>
      <c r="I1189" s="680" t="s">
        <v>835</v>
      </c>
      <c r="J1189" s="384" t="s">
        <v>836</v>
      </c>
      <c r="K1189" s="681">
        <v>6000</v>
      </c>
      <c r="L1189" s="677">
        <f>433359222/1000</f>
        <v>433359.22200000001</v>
      </c>
      <c r="M1189" s="682">
        <v>1500</v>
      </c>
      <c r="N1189" s="684">
        <v>86886.62</v>
      </c>
      <c r="O1189" s="682">
        <v>1500</v>
      </c>
      <c r="P1189" s="660">
        <v>63212.339</v>
      </c>
      <c r="Q1189" s="661">
        <v>0</v>
      </c>
      <c r="R1189" s="662">
        <v>4625.2250000000004</v>
      </c>
      <c r="S1189" s="385"/>
      <c r="T1189" s="59"/>
      <c r="U1189" s="59"/>
      <c r="V1189" s="59"/>
      <c r="W1189" s="59"/>
      <c r="X1189" s="59"/>
      <c r="Y1189" s="663">
        <f t="shared" si="317"/>
        <v>0</v>
      </c>
      <c r="Z1189" s="664">
        <f t="shared" si="318"/>
        <v>4625.2250000000004</v>
      </c>
      <c r="AA1189" s="678">
        <f t="shared" si="320"/>
        <v>1500</v>
      </c>
      <c r="AB1189" s="665">
        <f t="shared" si="320"/>
        <v>91511.845000000001</v>
      </c>
      <c r="AC1189" s="679">
        <f t="shared" si="319"/>
        <v>25</v>
      </c>
      <c r="AD1189" s="664">
        <f t="shared" si="319"/>
        <v>21.116856490941366</v>
      </c>
      <c r="AE1189" s="1901" t="s">
        <v>826</v>
      </c>
    </row>
    <row r="1190" spans="1:31" s="6" customFormat="1" ht="27.75" customHeight="1">
      <c r="A1190" s="59"/>
      <c r="B1190" s="685"/>
      <c r="C1190" s="1900"/>
      <c r="D1190" s="1900"/>
      <c r="E1190" s="1900"/>
      <c r="F1190" s="1900"/>
      <c r="G1190" s="1900"/>
      <c r="H1190" s="1900"/>
      <c r="I1190" s="686" t="s">
        <v>837</v>
      </c>
      <c r="J1190" s="384" t="s">
        <v>838</v>
      </c>
      <c r="K1190" s="655">
        <v>12</v>
      </c>
      <c r="L1190" s="687">
        <v>3000000</v>
      </c>
      <c r="M1190" s="655">
        <v>4</v>
      </c>
      <c r="N1190" s="662">
        <f>532501.85+30614.584</f>
        <v>563116.43400000001</v>
      </c>
      <c r="O1190" s="655">
        <v>4</v>
      </c>
      <c r="P1190" s="660">
        <v>500000</v>
      </c>
      <c r="Q1190" s="669">
        <v>0</v>
      </c>
      <c r="R1190" s="662">
        <v>30000</v>
      </c>
      <c r="S1190" s="385"/>
      <c r="T1190" s="59"/>
      <c r="U1190" s="59"/>
      <c r="V1190" s="59"/>
      <c r="W1190" s="59"/>
      <c r="X1190" s="59"/>
      <c r="Y1190" s="61">
        <f>Q1190+S1190+U1190+W1190</f>
        <v>0</v>
      </c>
      <c r="Z1190" s="664">
        <f>R1190</f>
        <v>30000</v>
      </c>
      <c r="AA1190" s="678">
        <f t="shared" si="320"/>
        <v>4</v>
      </c>
      <c r="AB1190" s="665">
        <f>N1190+Z1190</f>
        <v>593116.43400000001</v>
      </c>
      <c r="AC1190" s="679">
        <f>AA1190/K1190*100</f>
        <v>33.333333333333329</v>
      </c>
      <c r="AD1190" s="664">
        <f>AB1190/L1190*100</f>
        <v>19.770547799999999</v>
      </c>
      <c r="AE1190" s="1901" t="s">
        <v>826</v>
      </c>
    </row>
    <row r="1191" spans="1:31" s="6" customFormat="1" ht="27.75" customHeight="1">
      <c r="A1191" s="59"/>
      <c r="B1191" s="685"/>
      <c r="C1191" s="1900"/>
      <c r="D1191" s="1900"/>
      <c r="E1191" s="1900"/>
      <c r="F1191" s="1900"/>
      <c r="G1191" s="1900"/>
      <c r="H1191" s="1900"/>
      <c r="I1191" s="680" t="s">
        <v>839</v>
      </c>
      <c r="J1191" s="384" t="s">
        <v>840</v>
      </c>
      <c r="K1191" s="634">
        <v>240</v>
      </c>
      <c r="L1191" s="677">
        <v>2400000</v>
      </c>
      <c r="M1191" s="682">
        <v>65</v>
      </c>
      <c r="N1191" s="677">
        <f>407527.15+317607.85</f>
        <v>725135</v>
      </c>
      <c r="O1191" s="682">
        <v>971</v>
      </c>
      <c r="P1191" s="660">
        <v>419753.24125000002</v>
      </c>
      <c r="Q1191" s="661">
        <v>0</v>
      </c>
      <c r="R1191" s="662">
        <v>3925.9</v>
      </c>
      <c r="S1191" s="385"/>
      <c r="T1191" s="59"/>
      <c r="U1191" s="59"/>
      <c r="V1191" s="59"/>
      <c r="W1191" s="59"/>
      <c r="X1191" s="59"/>
      <c r="Y1191" s="663">
        <f t="shared" si="317"/>
        <v>0</v>
      </c>
      <c r="Z1191" s="664">
        <f t="shared" si="318"/>
        <v>3925.9</v>
      </c>
      <c r="AA1191" s="678">
        <f t="shared" si="320"/>
        <v>65</v>
      </c>
      <c r="AB1191" s="665">
        <f t="shared" si="320"/>
        <v>729060.9</v>
      </c>
      <c r="AC1191" s="679">
        <f t="shared" si="319"/>
        <v>27.083333333333332</v>
      </c>
      <c r="AD1191" s="664">
        <f t="shared" si="319"/>
        <v>30.377537500000003</v>
      </c>
      <c r="AE1191" s="1901" t="s">
        <v>826</v>
      </c>
    </row>
    <row r="1192" spans="1:31" s="6" customFormat="1" ht="27.75" customHeight="1">
      <c r="A1192" s="59"/>
      <c r="B1192" s="685"/>
      <c r="C1192" s="1900"/>
      <c r="D1192" s="1900"/>
      <c r="E1192" s="1900"/>
      <c r="F1192" s="1900"/>
      <c r="G1192" s="1900"/>
      <c r="H1192" s="1900"/>
      <c r="I1192" s="688" t="s">
        <v>841</v>
      </c>
      <c r="J1192" s="384"/>
      <c r="K1192" s="634"/>
      <c r="L1192" s="677"/>
      <c r="M1192" s="682"/>
      <c r="N1192" s="684"/>
      <c r="O1192" s="682"/>
      <c r="P1192" s="689">
        <f>P1193</f>
        <v>68821.233999999997</v>
      </c>
      <c r="Q1192" s="661"/>
      <c r="R1192" s="662"/>
      <c r="S1192" s="385"/>
      <c r="T1192" s="59"/>
      <c r="U1192" s="59"/>
      <c r="V1192" s="59"/>
      <c r="W1192" s="59"/>
      <c r="X1192" s="59"/>
      <c r="Y1192" s="663"/>
      <c r="Z1192" s="664"/>
      <c r="AA1192" s="678"/>
      <c r="AB1192" s="665"/>
      <c r="AC1192" s="679"/>
      <c r="AD1192" s="664"/>
      <c r="AE1192" s="1901"/>
    </row>
    <row r="1193" spans="1:31" s="6" customFormat="1" ht="27.75" customHeight="1">
      <c r="A1193" s="59"/>
      <c r="B1193" s="685"/>
      <c r="C1193" s="1900"/>
      <c r="D1193" s="1900"/>
      <c r="E1193" s="1900"/>
      <c r="F1193" s="1900"/>
      <c r="G1193" s="1900"/>
      <c r="H1193" s="1900"/>
      <c r="I1193" s="680" t="s">
        <v>842</v>
      </c>
      <c r="J1193" s="690" t="s">
        <v>843</v>
      </c>
      <c r="K1193" s="634">
        <v>72</v>
      </c>
      <c r="L1193" s="677">
        <v>562226.02099999995</v>
      </c>
      <c r="M1193" s="682">
        <v>24</v>
      </c>
      <c r="N1193" s="684">
        <f>91450.021+76272.2</f>
        <v>167722.22099999999</v>
      </c>
      <c r="O1193" s="682">
        <v>3</v>
      </c>
      <c r="P1193" s="660">
        <v>68821.233999999997</v>
      </c>
      <c r="Q1193" s="661">
        <v>3</v>
      </c>
      <c r="R1193" s="662">
        <v>3844.0610000000001</v>
      </c>
      <c r="S1193" s="385"/>
      <c r="T1193" s="59"/>
      <c r="U1193" s="59"/>
      <c r="V1193" s="59"/>
      <c r="W1193" s="59"/>
      <c r="X1193" s="59"/>
      <c r="Y1193" s="663">
        <f>Q1193+S1193+U1193+W1193</f>
        <v>3</v>
      </c>
      <c r="Z1193" s="664">
        <f>R1193</f>
        <v>3844.0610000000001</v>
      </c>
      <c r="AA1193" s="678">
        <f>M1193+Y1193</f>
        <v>27</v>
      </c>
      <c r="AB1193" s="665">
        <f>N1193+Z1193</f>
        <v>171566.28199999998</v>
      </c>
      <c r="AC1193" s="679">
        <f>AA1193/K1193*100</f>
        <v>37.5</v>
      </c>
      <c r="AD1193" s="664">
        <f>AB1193/L1193*100</f>
        <v>30.515535672796616</v>
      </c>
      <c r="AE1193" s="1901" t="s">
        <v>826</v>
      </c>
    </row>
    <row r="1194" spans="1:31" s="6" customFormat="1" ht="38.25">
      <c r="A1194" s="592"/>
      <c r="B1194" s="2339" t="s">
        <v>802</v>
      </c>
      <c r="C1194" s="1903">
        <v>2</v>
      </c>
      <c r="D1194" s="1903" t="s">
        <v>107</v>
      </c>
      <c r="E1194" s="1903" t="s">
        <v>196</v>
      </c>
      <c r="F1194" s="1903" t="s">
        <v>65</v>
      </c>
      <c r="G1194" s="1903">
        <v>21</v>
      </c>
      <c r="H1194" s="1903"/>
      <c r="I1194" s="2576" t="s">
        <v>844</v>
      </c>
      <c r="J1194" s="691" t="s">
        <v>845</v>
      </c>
      <c r="K1194" s="692">
        <v>70000</v>
      </c>
      <c r="L1194" s="693">
        <v>333747.3847224362</v>
      </c>
      <c r="M1194" s="694">
        <v>22000</v>
      </c>
      <c r="N1194" s="693">
        <v>213.74700000000001</v>
      </c>
      <c r="O1194" s="692">
        <v>11000</v>
      </c>
      <c r="P1194" s="692">
        <v>275389.61599999998</v>
      </c>
      <c r="Q1194" s="661">
        <v>0</v>
      </c>
      <c r="R1194" s="662">
        <v>27776.652999999998</v>
      </c>
      <c r="S1194" s="385"/>
      <c r="T1194" s="59"/>
      <c r="U1194" s="59"/>
      <c r="V1194" s="59"/>
      <c r="W1194" s="59"/>
      <c r="X1194" s="59"/>
      <c r="Y1194" s="663">
        <f t="shared" si="317"/>
        <v>0</v>
      </c>
      <c r="Z1194" s="664">
        <f t="shared" si="318"/>
        <v>27776.652999999998</v>
      </c>
      <c r="AA1194" s="678">
        <f t="shared" si="320"/>
        <v>22000</v>
      </c>
      <c r="AB1194" s="665">
        <f t="shared" si="320"/>
        <v>27990.399999999998</v>
      </c>
      <c r="AC1194" s="679">
        <f t="shared" si="319"/>
        <v>31.428571428571427</v>
      </c>
      <c r="AD1194" s="664">
        <f t="shared" si="319"/>
        <v>8.3867024226357465</v>
      </c>
      <c r="AE1194" s="1901" t="s">
        <v>826</v>
      </c>
    </row>
    <row r="1195" spans="1:31" s="6" customFormat="1" ht="15">
      <c r="A1195" s="592"/>
      <c r="B1195" s="2383"/>
      <c r="C1195" s="1903"/>
      <c r="D1195" s="1903"/>
      <c r="E1195" s="1903"/>
      <c r="F1195" s="1903"/>
      <c r="G1195" s="1903"/>
      <c r="H1195" s="1903"/>
      <c r="I1195" s="2577"/>
      <c r="J1195" s="667" t="s">
        <v>846</v>
      </c>
      <c r="K1195" s="668">
        <v>720</v>
      </c>
      <c r="L1195" s="672">
        <v>130509.2196147506</v>
      </c>
      <c r="M1195" s="695">
        <v>240</v>
      </c>
      <c r="N1195" s="384">
        <v>83.584000000000003</v>
      </c>
      <c r="O1195" s="668">
        <v>120</v>
      </c>
      <c r="P1195" s="672">
        <v>33750</v>
      </c>
      <c r="Q1195" s="661">
        <v>0</v>
      </c>
      <c r="R1195" s="662"/>
      <c r="S1195" s="385"/>
      <c r="T1195" s="59"/>
      <c r="U1195" s="59"/>
      <c r="V1195" s="59"/>
      <c r="W1195" s="59"/>
      <c r="X1195" s="59"/>
      <c r="Y1195" s="663">
        <f t="shared" si="317"/>
        <v>0</v>
      </c>
      <c r="Z1195" s="664">
        <f t="shared" si="318"/>
        <v>0</v>
      </c>
      <c r="AA1195" s="678">
        <f t="shared" si="320"/>
        <v>240</v>
      </c>
      <c r="AB1195" s="665">
        <f t="shared" si="320"/>
        <v>83.584000000000003</v>
      </c>
      <c r="AC1195" s="679">
        <f t="shared" si="319"/>
        <v>33.333333333333329</v>
      </c>
      <c r="AD1195" s="664">
        <f t="shared" si="319"/>
        <v>6.4044517503614784E-2</v>
      </c>
      <c r="AE1195" s="1901" t="s">
        <v>826</v>
      </c>
    </row>
    <row r="1196" spans="1:31" s="6" customFormat="1" ht="15">
      <c r="A1196" s="592"/>
      <c r="B1196" s="671"/>
      <c r="C1196" s="1903"/>
      <c r="D1196" s="1903"/>
      <c r="E1196" s="1903"/>
      <c r="F1196" s="1903"/>
      <c r="G1196" s="1903"/>
      <c r="H1196" s="1903"/>
      <c r="I1196" s="2577"/>
      <c r="J1196" s="667" t="s">
        <v>847</v>
      </c>
      <c r="K1196" s="668">
        <f>(5500*4)+13000</f>
        <v>35000</v>
      </c>
      <c r="L1196" s="672">
        <v>72460.84038351597</v>
      </c>
      <c r="M1196" s="696">
        <v>22000</v>
      </c>
      <c r="N1196" s="634">
        <v>46.406999999999996</v>
      </c>
      <c r="O1196" s="668">
        <v>5250</v>
      </c>
      <c r="P1196" s="672">
        <v>36750</v>
      </c>
      <c r="Q1196" s="661">
        <v>0</v>
      </c>
      <c r="R1196" s="662"/>
      <c r="S1196" s="385"/>
      <c r="T1196" s="59"/>
      <c r="U1196" s="59"/>
      <c r="V1196" s="59"/>
      <c r="W1196" s="59"/>
      <c r="X1196" s="59"/>
      <c r="Y1196" s="663">
        <f t="shared" si="317"/>
        <v>0</v>
      </c>
      <c r="Z1196" s="664">
        <f t="shared" si="318"/>
        <v>0</v>
      </c>
      <c r="AA1196" s="678">
        <f t="shared" si="320"/>
        <v>22000</v>
      </c>
      <c r="AB1196" s="665">
        <f t="shared" si="320"/>
        <v>46.406999999999996</v>
      </c>
      <c r="AC1196" s="679">
        <f t="shared" si="319"/>
        <v>62.857142857142854</v>
      </c>
      <c r="AD1196" s="664">
        <f t="shared" si="319"/>
        <v>6.4044247560999953E-2</v>
      </c>
      <c r="AE1196" s="1901" t="s">
        <v>826</v>
      </c>
    </row>
    <row r="1197" spans="1:31" s="6" customFormat="1" ht="15">
      <c r="A1197" s="592"/>
      <c r="B1197" s="671"/>
      <c r="C1197" s="1903"/>
      <c r="D1197" s="1903"/>
      <c r="E1197" s="1903"/>
      <c r="F1197" s="1903"/>
      <c r="G1197" s="1903"/>
      <c r="H1197" s="1903"/>
      <c r="I1197" s="666"/>
      <c r="J1197" s="667" t="s">
        <v>848</v>
      </c>
      <c r="K1197" s="668">
        <f>(5500*4)+13000</f>
        <v>35000</v>
      </c>
      <c r="L1197" s="672">
        <v>21738.252115054791</v>
      </c>
      <c r="M1197" s="696">
        <v>22000</v>
      </c>
      <c r="N1197" s="384">
        <v>13.922000000000001</v>
      </c>
      <c r="O1197" s="668">
        <v>5250</v>
      </c>
      <c r="P1197" s="672">
        <v>36750</v>
      </c>
      <c r="Q1197" s="661">
        <v>0</v>
      </c>
      <c r="R1197" s="662"/>
      <c r="S1197" s="385"/>
      <c r="T1197" s="59"/>
      <c r="U1197" s="59"/>
      <c r="V1197" s="59"/>
      <c r="W1197" s="59"/>
      <c r="X1197" s="59"/>
      <c r="Y1197" s="663">
        <f t="shared" si="317"/>
        <v>0</v>
      </c>
      <c r="Z1197" s="664">
        <f t="shared" si="318"/>
        <v>0</v>
      </c>
      <c r="AA1197" s="678">
        <f t="shared" si="320"/>
        <v>22000</v>
      </c>
      <c r="AB1197" s="665">
        <f t="shared" si="320"/>
        <v>13.922000000000001</v>
      </c>
      <c r="AC1197" s="679">
        <f t="shared" si="319"/>
        <v>62.857142857142854</v>
      </c>
      <c r="AD1197" s="664">
        <f t="shared" si="319"/>
        <v>6.4043787542413966E-2</v>
      </c>
      <c r="AE1197" s="1901" t="s">
        <v>826</v>
      </c>
    </row>
    <row r="1198" spans="1:31" s="6" customFormat="1" ht="27.75" customHeight="1">
      <c r="A1198" s="59"/>
      <c r="B1198" s="673"/>
      <c r="C1198" s="1900"/>
      <c r="D1198" s="1900"/>
      <c r="E1198" s="1900"/>
      <c r="F1198" s="1900"/>
      <c r="G1198" s="1900"/>
      <c r="H1198" s="1900"/>
      <c r="I1198" s="674"/>
      <c r="J1198" s="667" t="s">
        <v>849</v>
      </c>
      <c r="K1198" s="668">
        <v>250</v>
      </c>
      <c r="L1198" s="672">
        <v>1250</v>
      </c>
      <c r="M1198" s="634">
        <v>100</v>
      </c>
      <c r="N1198" s="681">
        <v>5000</v>
      </c>
      <c r="O1198" s="668">
        <v>100</v>
      </c>
      <c r="P1198" s="672">
        <v>5000</v>
      </c>
      <c r="Q1198" s="661">
        <v>0</v>
      </c>
      <c r="R1198" s="662"/>
      <c r="S1198" s="385"/>
      <c r="T1198" s="59"/>
      <c r="U1198" s="59"/>
      <c r="V1198" s="59"/>
      <c r="W1198" s="59"/>
      <c r="X1198" s="59"/>
      <c r="Y1198" s="663">
        <f t="shared" si="317"/>
        <v>0</v>
      </c>
      <c r="Z1198" s="664">
        <f t="shared" si="318"/>
        <v>0</v>
      </c>
      <c r="AA1198" s="678">
        <f t="shared" si="320"/>
        <v>100</v>
      </c>
      <c r="AB1198" s="665">
        <f t="shared" si="320"/>
        <v>5000</v>
      </c>
      <c r="AC1198" s="679">
        <f t="shared" si="319"/>
        <v>40</v>
      </c>
      <c r="AD1198" s="664">
        <f t="shared" si="319"/>
        <v>400</v>
      </c>
      <c r="AE1198" s="1901" t="s">
        <v>826</v>
      </c>
    </row>
    <row r="1199" spans="1:31" s="6" customFormat="1" ht="27.75" customHeight="1">
      <c r="A1199" s="439"/>
      <c r="B1199" s="2578" t="s">
        <v>802</v>
      </c>
      <c r="C1199" s="1899">
        <v>2</v>
      </c>
      <c r="D1199" s="1899" t="s">
        <v>107</v>
      </c>
      <c r="E1199" s="1899" t="s">
        <v>196</v>
      </c>
      <c r="F1199" s="1899" t="s">
        <v>65</v>
      </c>
      <c r="G1199" s="1899">
        <v>23</v>
      </c>
      <c r="H1199" s="1899"/>
      <c r="I1199" s="2580" t="s">
        <v>850</v>
      </c>
      <c r="J1199" s="657" t="s">
        <v>851</v>
      </c>
      <c r="K1199" s="692">
        <v>20</v>
      </c>
      <c r="L1199" s="693">
        <v>325115.26972922869</v>
      </c>
      <c r="M1199" s="697">
        <v>7</v>
      </c>
      <c r="N1199" s="698">
        <v>208219</v>
      </c>
      <c r="O1199" s="692">
        <v>3</v>
      </c>
      <c r="P1199" s="693">
        <v>913327.59600000002</v>
      </c>
      <c r="Q1199" s="661">
        <v>0</v>
      </c>
      <c r="R1199" s="662">
        <f>R1201</f>
        <v>13919.632</v>
      </c>
      <c r="S1199" s="385"/>
      <c r="T1199" s="59"/>
      <c r="U1199" s="59"/>
      <c r="V1199" s="59"/>
      <c r="W1199" s="59"/>
      <c r="X1199" s="59"/>
      <c r="Y1199" s="61">
        <f t="shared" si="317"/>
        <v>0</v>
      </c>
      <c r="Z1199" s="664">
        <f t="shared" si="318"/>
        <v>13919.632</v>
      </c>
      <c r="AA1199" s="678">
        <f t="shared" si="320"/>
        <v>7</v>
      </c>
      <c r="AB1199" s="665">
        <f t="shared" si="320"/>
        <v>222138.63200000001</v>
      </c>
      <c r="AC1199" s="679">
        <f t="shared" si="319"/>
        <v>35</v>
      </c>
      <c r="AD1199" s="664">
        <f t="shared" si="319"/>
        <v>68.326114668501276</v>
      </c>
      <c r="AE1199" s="1901" t="s">
        <v>826</v>
      </c>
    </row>
    <row r="1200" spans="1:31" s="6" customFormat="1" ht="27.75" customHeight="1">
      <c r="A1200" s="59"/>
      <c r="B1200" s="2579"/>
      <c r="C1200" s="1900"/>
      <c r="D1200" s="1900"/>
      <c r="E1200" s="1900"/>
      <c r="F1200" s="1900"/>
      <c r="G1200" s="1900"/>
      <c r="H1200" s="1900"/>
      <c r="I1200" s="2581"/>
      <c r="J1200" s="385"/>
      <c r="K1200" s="385"/>
      <c r="L1200" s="385"/>
      <c r="M1200" s="386"/>
      <c r="N1200" s="385"/>
      <c r="O1200" s="385"/>
      <c r="P1200" s="658"/>
      <c r="Q1200" s="669"/>
      <c r="R1200" s="699"/>
      <c r="S1200" s="385"/>
      <c r="T1200" s="59"/>
      <c r="U1200" s="59"/>
      <c r="V1200" s="59"/>
      <c r="W1200" s="59"/>
      <c r="X1200" s="59"/>
      <c r="Y1200" s="61"/>
      <c r="Z1200" s="664"/>
      <c r="AA1200" s="678"/>
      <c r="AB1200" s="665"/>
      <c r="AC1200" s="679"/>
      <c r="AD1200" s="664"/>
      <c r="AE1200" s="1901"/>
    </row>
    <row r="1201" spans="1:31" s="6" customFormat="1" ht="27.75" customHeight="1">
      <c r="A1201" s="59"/>
      <c r="B1201" s="634"/>
      <c r="C1201" s="1900"/>
      <c r="D1201" s="1900"/>
      <c r="E1201" s="1900"/>
      <c r="F1201" s="1900"/>
      <c r="G1201" s="1900"/>
      <c r="H1201" s="1900"/>
      <c r="I1201" s="700" t="s">
        <v>852</v>
      </c>
      <c r="J1201" s="385" t="s">
        <v>853</v>
      </c>
      <c r="K1201" s="655">
        <v>20</v>
      </c>
      <c r="L1201" s="687">
        <f>2269262100/1000</f>
        <v>2269262.1</v>
      </c>
      <c r="M1201" s="655">
        <v>7</v>
      </c>
      <c r="N1201" s="662">
        <f>238855.276+227361.06</f>
        <v>466216.33600000001</v>
      </c>
      <c r="O1201" s="655">
        <v>3</v>
      </c>
      <c r="P1201" s="660">
        <v>913327.6</v>
      </c>
      <c r="Q1201" s="669">
        <v>0</v>
      </c>
      <c r="R1201" s="662">
        <v>13919.632</v>
      </c>
      <c r="S1201" s="385"/>
      <c r="T1201" s="59"/>
      <c r="U1201" s="59"/>
      <c r="V1201" s="59"/>
      <c r="W1201" s="59"/>
      <c r="X1201" s="59"/>
      <c r="Y1201" s="61">
        <f t="shared" si="317"/>
        <v>0</v>
      </c>
      <c r="Z1201" s="664">
        <f t="shared" si="318"/>
        <v>13919.632</v>
      </c>
      <c r="AA1201" s="678">
        <f t="shared" si="320"/>
        <v>7</v>
      </c>
      <c r="AB1201" s="665">
        <f>N1201+Z1201</f>
        <v>480135.96799999999</v>
      </c>
      <c r="AC1201" s="679">
        <f t="shared" ref="AC1201:AD1205" si="321">AA1201/K1201*100</f>
        <v>35</v>
      </c>
      <c r="AD1201" s="664">
        <f t="shared" si="321"/>
        <v>21.158242055864768</v>
      </c>
      <c r="AE1201" s="1901" t="s">
        <v>826</v>
      </c>
    </row>
    <row r="1202" spans="1:31" s="6" customFormat="1" ht="38.25">
      <c r="A1202" s="385"/>
      <c r="B1202" s="634"/>
      <c r="C1202" s="1905">
        <v>2</v>
      </c>
      <c r="D1202" s="1905" t="s">
        <v>107</v>
      </c>
      <c r="E1202" s="1905" t="s">
        <v>196</v>
      </c>
      <c r="F1202" s="1905" t="s">
        <v>65</v>
      </c>
      <c r="G1202" s="1905">
        <v>24</v>
      </c>
      <c r="H1202" s="1905"/>
      <c r="I1202" s="1893" t="s">
        <v>854</v>
      </c>
      <c r="J1202" s="1906" t="s">
        <v>855</v>
      </c>
      <c r="K1202" s="655">
        <v>4</v>
      </c>
      <c r="L1202" s="687">
        <f>L1203</f>
        <v>1003223</v>
      </c>
      <c r="M1202" s="655">
        <v>4</v>
      </c>
      <c r="N1202" s="662">
        <f>N1203</f>
        <v>356482.99800000002</v>
      </c>
      <c r="O1202" s="655">
        <v>1</v>
      </c>
      <c r="P1202" s="660">
        <f>P1203</f>
        <v>160740.14199999999</v>
      </c>
      <c r="Q1202" s="669">
        <v>0</v>
      </c>
      <c r="R1202" s="662">
        <f>R1203</f>
        <v>2052.5</v>
      </c>
      <c r="S1202" s="385"/>
      <c r="T1202" s="59"/>
      <c r="U1202" s="59"/>
      <c r="V1202" s="59"/>
      <c r="W1202" s="59"/>
      <c r="X1202" s="59"/>
      <c r="Y1202" s="61">
        <f t="shared" si="317"/>
        <v>0</v>
      </c>
      <c r="Z1202" s="664">
        <f t="shared" si="318"/>
        <v>2052.5</v>
      </c>
      <c r="AA1202" s="678">
        <f t="shared" si="320"/>
        <v>4</v>
      </c>
      <c r="AB1202" s="665">
        <f>N1202+Z1202</f>
        <v>358535.49800000002</v>
      </c>
      <c r="AC1202" s="679">
        <f t="shared" si="321"/>
        <v>100</v>
      </c>
      <c r="AD1202" s="664">
        <f t="shared" si="321"/>
        <v>35.738365049445633</v>
      </c>
      <c r="AE1202" s="1901" t="s">
        <v>826</v>
      </c>
    </row>
    <row r="1203" spans="1:31" s="6" customFormat="1" ht="25.5">
      <c r="A1203" s="385"/>
      <c r="B1203" s="634"/>
      <c r="C1203" s="1905"/>
      <c r="D1203" s="1905"/>
      <c r="E1203" s="1905"/>
      <c r="F1203" s="1905"/>
      <c r="G1203" s="1905"/>
      <c r="H1203" s="1905"/>
      <c r="I1203" s="724" t="s">
        <v>856</v>
      </c>
      <c r="J1203" s="1906" t="s">
        <v>857</v>
      </c>
      <c r="K1203" s="655">
        <v>4</v>
      </c>
      <c r="L1203" s="687">
        <v>1003223</v>
      </c>
      <c r="M1203" s="655">
        <v>4</v>
      </c>
      <c r="N1203" s="662">
        <f>173833.19+182649.808</f>
        <v>356482.99800000002</v>
      </c>
      <c r="O1203" s="655">
        <v>1</v>
      </c>
      <c r="P1203" s="660">
        <v>160740.14199999999</v>
      </c>
      <c r="Q1203" s="669">
        <v>0</v>
      </c>
      <c r="R1203" s="662">
        <v>2052.5</v>
      </c>
      <c r="S1203" s="385"/>
      <c r="T1203" s="59"/>
      <c r="U1203" s="59"/>
      <c r="V1203" s="59"/>
      <c r="W1203" s="59"/>
      <c r="X1203" s="59"/>
      <c r="Y1203" s="61">
        <f t="shared" si="317"/>
        <v>0</v>
      </c>
      <c r="Z1203" s="664">
        <f t="shared" si="318"/>
        <v>2052.5</v>
      </c>
      <c r="AA1203" s="678">
        <f>M1203+Y1203</f>
        <v>4</v>
      </c>
      <c r="AB1203" s="665">
        <f>N1203+Z1203</f>
        <v>358535.49800000002</v>
      </c>
      <c r="AC1203" s="679">
        <f t="shared" si="321"/>
        <v>100</v>
      </c>
      <c r="AD1203" s="664">
        <f t="shared" si="321"/>
        <v>35.738365049445633</v>
      </c>
      <c r="AE1203" s="1901" t="s">
        <v>826</v>
      </c>
    </row>
    <row r="1204" spans="1:31" s="6" customFormat="1" ht="27.75" customHeight="1">
      <c r="A1204" s="59"/>
      <c r="B1204" s="634"/>
      <c r="C1204" s="1900">
        <v>2</v>
      </c>
      <c r="D1204" s="1900" t="s">
        <v>107</v>
      </c>
      <c r="E1204" s="1900" t="s">
        <v>196</v>
      </c>
      <c r="F1204" s="1900" t="s">
        <v>65</v>
      </c>
      <c r="G1204" s="1900">
        <v>32</v>
      </c>
      <c r="H1204" s="1900"/>
      <c r="I1204" s="701" t="s">
        <v>858</v>
      </c>
      <c r="J1204" s="383" t="s">
        <v>859</v>
      </c>
      <c r="K1204" s="702">
        <v>24</v>
      </c>
      <c r="L1204" s="703">
        <f>L1205</f>
        <v>3980000</v>
      </c>
      <c r="M1204" s="702">
        <v>13</v>
      </c>
      <c r="N1204" s="704">
        <f>N1205</f>
        <v>334333.08999999997</v>
      </c>
      <c r="O1204" s="702">
        <v>5</v>
      </c>
      <c r="P1204" s="705">
        <f>P1205</f>
        <v>63895.957999999999</v>
      </c>
      <c r="Q1204" s="706">
        <f>Q1205</f>
        <v>0</v>
      </c>
      <c r="R1204" s="704">
        <f>R1205</f>
        <v>35132.472000000002</v>
      </c>
      <c r="S1204" s="385"/>
      <c r="T1204" s="59"/>
      <c r="U1204" s="59"/>
      <c r="V1204" s="59"/>
      <c r="W1204" s="59"/>
      <c r="X1204" s="59"/>
      <c r="Y1204" s="61">
        <f t="shared" si="317"/>
        <v>0</v>
      </c>
      <c r="Z1204" s="664">
        <f t="shared" si="318"/>
        <v>35132.472000000002</v>
      </c>
      <c r="AA1204" s="678">
        <f>M1204+Y1204</f>
        <v>13</v>
      </c>
      <c r="AB1204" s="665">
        <f>N1204+Z1204</f>
        <v>369465.56199999998</v>
      </c>
      <c r="AC1204" s="679">
        <f t="shared" si="321"/>
        <v>54.166666666666664</v>
      </c>
      <c r="AD1204" s="664">
        <f t="shared" si="321"/>
        <v>9.2830543216080397</v>
      </c>
      <c r="AE1204" s="1901" t="s">
        <v>826</v>
      </c>
    </row>
    <row r="1205" spans="1:31" s="6" customFormat="1" ht="27.75" customHeight="1">
      <c r="A1205" s="59"/>
      <c r="B1205" s="634"/>
      <c r="C1205" s="1900"/>
      <c r="D1205" s="1900"/>
      <c r="E1205" s="1900"/>
      <c r="F1205" s="1900"/>
      <c r="G1205" s="1900"/>
      <c r="H1205" s="1900"/>
      <c r="I1205" s="686" t="s">
        <v>860</v>
      </c>
      <c r="J1205" s="384" t="s">
        <v>861</v>
      </c>
      <c r="K1205" s="655">
        <v>12</v>
      </c>
      <c r="L1205" s="687">
        <v>3980000</v>
      </c>
      <c r="M1205" s="655">
        <v>9</v>
      </c>
      <c r="N1205" s="662">
        <f>179390.79+154942.3</f>
        <v>334333.08999999997</v>
      </c>
      <c r="O1205" s="655">
        <v>1</v>
      </c>
      <c r="P1205" s="660">
        <v>63895.957999999999</v>
      </c>
      <c r="Q1205" s="669">
        <v>0</v>
      </c>
      <c r="R1205" s="662">
        <v>35132.472000000002</v>
      </c>
      <c r="S1205" s="385"/>
      <c r="T1205" s="59"/>
      <c r="U1205" s="59"/>
      <c r="V1205" s="59"/>
      <c r="W1205" s="59"/>
      <c r="X1205" s="59"/>
      <c r="Y1205" s="61">
        <f t="shared" si="317"/>
        <v>0</v>
      </c>
      <c r="Z1205" s="664">
        <f t="shared" si="318"/>
        <v>35132.472000000002</v>
      </c>
      <c r="AA1205" s="678">
        <f>M1205+Y1205</f>
        <v>9</v>
      </c>
      <c r="AB1205" s="665">
        <f>N1205+Z1205</f>
        <v>369465.56199999998</v>
      </c>
      <c r="AC1205" s="679">
        <f t="shared" si="321"/>
        <v>75</v>
      </c>
      <c r="AD1205" s="664">
        <f t="shared" si="321"/>
        <v>9.2830543216080397</v>
      </c>
      <c r="AE1205" s="1901" t="s">
        <v>826</v>
      </c>
    </row>
    <row r="1206" spans="1:31" s="6" customFormat="1" ht="38.25">
      <c r="A1206" s="59"/>
      <c r="B1206" s="2339" t="s">
        <v>862</v>
      </c>
      <c r="C1206" s="1900">
        <v>2</v>
      </c>
      <c r="D1206" s="1900" t="s">
        <v>107</v>
      </c>
      <c r="E1206" s="1900" t="s">
        <v>196</v>
      </c>
      <c r="F1206" s="1900" t="s">
        <v>65</v>
      </c>
      <c r="G1206" s="1900">
        <v>21</v>
      </c>
      <c r="H1206" s="1900"/>
      <c r="I1206" s="618" t="s">
        <v>844</v>
      </c>
      <c r="J1206" s="691"/>
      <c r="K1206" s="692"/>
      <c r="L1206" s="693"/>
      <c r="M1206" s="694">
        <f>M1207+M1212+M1213</f>
        <v>27315.333333333332</v>
      </c>
      <c r="N1206" s="693"/>
      <c r="O1206" s="692"/>
      <c r="P1206" s="693">
        <f>P1207+P1212+P1213+P1214</f>
        <v>569703.51799999992</v>
      </c>
      <c r="Q1206" s="669"/>
      <c r="R1206" s="386"/>
      <c r="S1206" s="385"/>
      <c r="T1206" s="59"/>
      <c r="U1206" s="59"/>
      <c r="V1206" s="59"/>
      <c r="W1206" s="59"/>
      <c r="X1206" s="59"/>
      <c r="Y1206" s="61"/>
      <c r="Z1206" s="664">
        <f t="shared" si="318"/>
        <v>0</v>
      </c>
      <c r="AA1206" s="678">
        <f>M1206+Y1206</f>
        <v>27315.333333333332</v>
      </c>
      <c r="AB1206" s="665">
        <f>AB1207+AB1212+AB1213</f>
        <v>641162.13100000005</v>
      </c>
      <c r="AC1206" s="679"/>
      <c r="AD1206" s="664"/>
      <c r="AE1206" s="1901"/>
    </row>
    <row r="1207" spans="1:31" s="6" customFormat="1" ht="27.75" customHeight="1">
      <c r="A1207" s="59"/>
      <c r="B1207" s="2383"/>
      <c r="C1207" s="1900"/>
      <c r="D1207" s="1900"/>
      <c r="E1207" s="1900"/>
      <c r="F1207" s="1900"/>
      <c r="G1207" s="1900"/>
      <c r="H1207" s="1900"/>
      <c r="I1207" s="433" t="s">
        <v>863</v>
      </c>
      <c r="J1207" s="691" t="s">
        <v>845</v>
      </c>
      <c r="K1207" s="692">
        <v>70000</v>
      </c>
      <c r="L1207" s="693">
        <v>333747.3847224362</v>
      </c>
      <c r="M1207" s="694">
        <v>22000</v>
      </c>
      <c r="N1207" s="693">
        <v>213.74700000000001</v>
      </c>
      <c r="O1207" s="692">
        <v>11000</v>
      </c>
      <c r="P1207" s="693">
        <v>274039.61599999998</v>
      </c>
      <c r="Q1207" s="669">
        <v>0</v>
      </c>
      <c r="R1207" s="662">
        <v>27776.652999999998</v>
      </c>
      <c r="S1207" s="385"/>
      <c r="T1207" s="59"/>
      <c r="U1207" s="59"/>
      <c r="V1207" s="59"/>
      <c r="W1207" s="59"/>
      <c r="X1207" s="59"/>
      <c r="Y1207" s="663">
        <f t="shared" si="317"/>
        <v>0</v>
      </c>
      <c r="Z1207" s="664">
        <f t="shared" si="318"/>
        <v>27776.652999999998</v>
      </c>
      <c r="AA1207" s="678">
        <f t="shared" si="320"/>
        <v>22000</v>
      </c>
      <c r="AB1207" s="665">
        <f t="shared" si="320"/>
        <v>27990.399999999998</v>
      </c>
      <c r="AC1207" s="679">
        <f t="shared" ref="AC1207:AD1222" si="322">AA1207/K1207*100</f>
        <v>31.428571428571427</v>
      </c>
      <c r="AD1207" s="664">
        <f t="shared" si="322"/>
        <v>8.3867024226357465</v>
      </c>
      <c r="AE1207" s="1901" t="s">
        <v>826</v>
      </c>
    </row>
    <row r="1208" spans="1:31" s="6" customFormat="1" ht="15">
      <c r="A1208" s="59"/>
      <c r="B1208" s="58"/>
      <c r="C1208" s="1900"/>
      <c r="D1208" s="1900"/>
      <c r="E1208" s="1900"/>
      <c r="F1208" s="1900"/>
      <c r="G1208" s="1900"/>
      <c r="H1208" s="1900"/>
      <c r="I1208" s="383"/>
      <c r="J1208" s="667" t="s">
        <v>846</v>
      </c>
      <c r="K1208" s="668">
        <v>720</v>
      </c>
      <c r="L1208" s="672">
        <v>130509.2196147506</v>
      </c>
      <c r="M1208" s="695">
        <v>240</v>
      </c>
      <c r="N1208" s="384">
        <v>83.584000000000003</v>
      </c>
      <c r="O1208" s="385">
        <v>120</v>
      </c>
      <c r="P1208" s="387">
        <v>33750</v>
      </c>
      <c r="Q1208" s="669">
        <v>0</v>
      </c>
      <c r="R1208" s="386"/>
      <c r="S1208" s="385"/>
      <c r="T1208" s="59"/>
      <c r="U1208" s="59"/>
      <c r="V1208" s="59"/>
      <c r="W1208" s="59"/>
      <c r="X1208" s="59"/>
      <c r="Y1208" s="663">
        <f t="shared" si="317"/>
        <v>0</v>
      </c>
      <c r="Z1208" s="664">
        <f t="shared" si="318"/>
        <v>0</v>
      </c>
      <c r="AA1208" s="678">
        <f t="shared" si="320"/>
        <v>240</v>
      </c>
      <c r="AB1208" s="665">
        <f t="shared" si="320"/>
        <v>83.584000000000003</v>
      </c>
      <c r="AC1208" s="679">
        <f t="shared" si="322"/>
        <v>33.333333333333329</v>
      </c>
      <c r="AD1208" s="664">
        <f t="shared" si="322"/>
        <v>6.4044517503614784E-2</v>
      </c>
      <c r="AE1208" s="1901" t="s">
        <v>826</v>
      </c>
    </row>
    <row r="1209" spans="1:31" s="6" customFormat="1" ht="15">
      <c r="A1209" s="59"/>
      <c r="B1209" s="634"/>
      <c r="C1209" s="1900"/>
      <c r="D1209" s="1900"/>
      <c r="E1209" s="1900"/>
      <c r="F1209" s="1900"/>
      <c r="G1209" s="1900"/>
      <c r="H1209" s="1900"/>
      <c r="I1209" s="383"/>
      <c r="J1209" s="667" t="s">
        <v>847</v>
      </c>
      <c r="K1209" s="668">
        <f>(5500*4)+13000</f>
        <v>35000</v>
      </c>
      <c r="L1209" s="672">
        <v>72460.84038351597</v>
      </c>
      <c r="M1209" s="696">
        <v>22000</v>
      </c>
      <c r="N1209" s="634">
        <v>46.406999999999996</v>
      </c>
      <c r="O1209" s="655">
        <v>5250</v>
      </c>
      <c r="P1209" s="387">
        <v>36750</v>
      </c>
      <c r="Q1209" s="669">
        <v>0</v>
      </c>
      <c r="R1209" s="386"/>
      <c r="S1209" s="385"/>
      <c r="T1209" s="59"/>
      <c r="U1209" s="59"/>
      <c r="V1209" s="59"/>
      <c r="W1209" s="59"/>
      <c r="X1209" s="59"/>
      <c r="Y1209" s="663">
        <f t="shared" si="317"/>
        <v>0</v>
      </c>
      <c r="Z1209" s="664">
        <f t="shared" si="318"/>
        <v>0</v>
      </c>
      <c r="AA1209" s="678">
        <f t="shared" si="320"/>
        <v>22000</v>
      </c>
      <c r="AB1209" s="665">
        <f t="shared" si="320"/>
        <v>46.406999999999996</v>
      </c>
      <c r="AC1209" s="679">
        <f t="shared" si="322"/>
        <v>62.857142857142854</v>
      </c>
      <c r="AD1209" s="664">
        <f t="shared" si="322"/>
        <v>6.4044247560999953E-2</v>
      </c>
      <c r="AE1209" s="1901" t="s">
        <v>826</v>
      </c>
    </row>
    <row r="1210" spans="1:31" s="6" customFormat="1" ht="15">
      <c r="A1210" s="59"/>
      <c r="B1210" s="634"/>
      <c r="C1210" s="1900"/>
      <c r="D1210" s="1900"/>
      <c r="E1210" s="1900"/>
      <c r="F1210" s="1900"/>
      <c r="G1210" s="1900"/>
      <c r="H1210" s="1900"/>
      <c r="I1210" s="383"/>
      <c r="J1210" s="667" t="s">
        <v>848</v>
      </c>
      <c r="K1210" s="668">
        <f>(5500*4)+13000</f>
        <v>35000</v>
      </c>
      <c r="L1210" s="672">
        <v>21738.252115054791</v>
      </c>
      <c r="M1210" s="696">
        <v>22000</v>
      </c>
      <c r="N1210" s="384">
        <v>13.922000000000001</v>
      </c>
      <c r="O1210" s="385">
        <v>5250</v>
      </c>
      <c r="P1210" s="387">
        <v>36750</v>
      </c>
      <c r="Q1210" s="669">
        <v>0</v>
      </c>
      <c r="R1210" s="386"/>
      <c r="S1210" s="385"/>
      <c r="T1210" s="59"/>
      <c r="U1210" s="59"/>
      <c r="V1210" s="59"/>
      <c r="W1210" s="59"/>
      <c r="X1210" s="59"/>
      <c r="Y1210" s="663">
        <f t="shared" si="317"/>
        <v>0</v>
      </c>
      <c r="Z1210" s="664">
        <f t="shared" si="318"/>
        <v>0</v>
      </c>
      <c r="AA1210" s="678">
        <f t="shared" si="320"/>
        <v>22000</v>
      </c>
      <c r="AB1210" s="665">
        <f t="shared" si="320"/>
        <v>13.922000000000001</v>
      </c>
      <c r="AC1210" s="679">
        <f t="shared" si="322"/>
        <v>62.857142857142854</v>
      </c>
      <c r="AD1210" s="664">
        <f t="shared" si="322"/>
        <v>6.4043787542413966E-2</v>
      </c>
      <c r="AE1210" s="1901" t="s">
        <v>826</v>
      </c>
    </row>
    <row r="1211" spans="1:31" s="6" customFormat="1" ht="25.5">
      <c r="A1211" s="59"/>
      <c r="B1211" s="634"/>
      <c r="C1211" s="1900"/>
      <c r="D1211" s="1900"/>
      <c r="E1211" s="1900"/>
      <c r="F1211" s="1900"/>
      <c r="G1211" s="1900"/>
      <c r="H1211" s="1900"/>
      <c r="I1211" s="383"/>
      <c r="J1211" s="667" t="s">
        <v>849</v>
      </c>
      <c r="K1211" s="668">
        <v>250</v>
      </c>
      <c r="L1211" s="672">
        <v>125000</v>
      </c>
      <c r="M1211" s="634">
        <v>100</v>
      </c>
      <c r="N1211" s="681">
        <v>5000</v>
      </c>
      <c r="O1211" s="655">
        <v>100</v>
      </c>
      <c r="P1211" s="658">
        <v>5000</v>
      </c>
      <c r="Q1211" s="669">
        <v>0</v>
      </c>
      <c r="R1211" s="386"/>
      <c r="S1211" s="385"/>
      <c r="T1211" s="59"/>
      <c r="U1211" s="59"/>
      <c r="V1211" s="59"/>
      <c r="W1211" s="59"/>
      <c r="X1211" s="59"/>
      <c r="Y1211" s="663">
        <f t="shared" si="317"/>
        <v>0</v>
      </c>
      <c r="Z1211" s="664">
        <f t="shared" si="318"/>
        <v>0</v>
      </c>
      <c r="AA1211" s="678">
        <f t="shared" si="320"/>
        <v>100</v>
      </c>
      <c r="AB1211" s="665">
        <f t="shared" si="320"/>
        <v>5000</v>
      </c>
      <c r="AC1211" s="679">
        <f t="shared" si="322"/>
        <v>40</v>
      </c>
      <c r="AD1211" s="664">
        <f t="shared" si="322"/>
        <v>4</v>
      </c>
      <c r="AE1211" s="1901" t="s">
        <v>826</v>
      </c>
    </row>
    <row r="1212" spans="1:31" s="6" customFormat="1" ht="38.25">
      <c r="A1212" s="59"/>
      <c r="B1212" s="634"/>
      <c r="C1212" s="1900"/>
      <c r="D1212" s="1900"/>
      <c r="E1212" s="1900"/>
      <c r="F1212" s="1900"/>
      <c r="G1212" s="1900"/>
      <c r="H1212" s="1900"/>
      <c r="I1212" s="724" t="s">
        <v>864</v>
      </c>
      <c r="J1212" s="1906" t="s">
        <v>865</v>
      </c>
      <c r="K1212" s="590">
        <v>30300</v>
      </c>
      <c r="L1212" s="707">
        <v>1362290.58</v>
      </c>
      <c r="M1212" s="707">
        <v>5302</v>
      </c>
      <c r="N1212" s="708">
        <f>215746.47+258768.52</f>
        <v>474514.99</v>
      </c>
      <c r="O1212" s="385">
        <v>4000</v>
      </c>
      <c r="P1212" s="708">
        <v>165695.67499999999</v>
      </c>
      <c r="Q1212" s="669">
        <v>0</v>
      </c>
      <c r="R1212" s="699">
        <v>4331.5119999999997</v>
      </c>
      <c r="S1212" s="385"/>
      <c r="T1212" s="59"/>
      <c r="U1212" s="59"/>
      <c r="V1212" s="59"/>
      <c r="W1212" s="59"/>
      <c r="X1212" s="59"/>
      <c r="Y1212" s="61">
        <f t="shared" si="317"/>
        <v>0</v>
      </c>
      <c r="Z1212" s="664">
        <f t="shared" si="318"/>
        <v>4331.5119999999997</v>
      </c>
      <c r="AA1212" s="678">
        <f t="shared" si="320"/>
        <v>5302</v>
      </c>
      <c r="AB1212" s="665">
        <f t="shared" si="320"/>
        <v>478846.50199999998</v>
      </c>
      <c r="AC1212" s="679">
        <f t="shared" si="322"/>
        <v>17.498349834983497</v>
      </c>
      <c r="AD1212" s="664">
        <f t="shared" si="322"/>
        <v>35.150100061618275</v>
      </c>
      <c r="AE1212" s="1901" t="s">
        <v>826</v>
      </c>
    </row>
    <row r="1213" spans="1:31" s="6" customFormat="1" ht="63.75">
      <c r="A1213" s="59"/>
      <c r="B1213" s="634"/>
      <c r="C1213" s="1900"/>
      <c r="D1213" s="1900"/>
      <c r="E1213" s="1900"/>
      <c r="F1213" s="1900"/>
      <c r="G1213" s="1900"/>
      <c r="H1213" s="1900"/>
      <c r="I1213" s="726" t="s">
        <v>866</v>
      </c>
      <c r="J1213" s="433" t="s">
        <v>867</v>
      </c>
      <c r="K1213" s="634">
        <v>33.33</v>
      </c>
      <c r="L1213" s="709">
        <f>740626820/1000</f>
        <v>740626.82</v>
      </c>
      <c r="M1213" s="710">
        <f>2/15*100</f>
        <v>13.333333333333334</v>
      </c>
      <c r="N1213" s="709">
        <f>120423280/1000</f>
        <v>120423.28</v>
      </c>
      <c r="O1213" s="389">
        <f>3/15*100</f>
        <v>20</v>
      </c>
      <c r="P1213" s="711">
        <v>94611.61</v>
      </c>
      <c r="Q1213" s="669">
        <v>0</v>
      </c>
      <c r="R1213" s="699">
        <v>13901.949000000001</v>
      </c>
      <c r="S1213" s="385"/>
      <c r="T1213" s="59"/>
      <c r="U1213" s="59"/>
      <c r="V1213" s="59"/>
      <c r="W1213" s="59"/>
      <c r="X1213" s="59"/>
      <c r="Y1213" s="61">
        <f t="shared" si="317"/>
        <v>0</v>
      </c>
      <c r="Z1213" s="664">
        <f t="shared" si="318"/>
        <v>13901.949000000001</v>
      </c>
      <c r="AA1213" s="678">
        <f>M1213+Y1213</f>
        <v>13.333333333333334</v>
      </c>
      <c r="AB1213" s="665">
        <f t="shared" ref="AB1213:AB1214" si="323">N1213+Z1213</f>
        <v>134325.22899999999</v>
      </c>
      <c r="AC1213" s="679">
        <f t="shared" si="322"/>
        <v>40.004000400040006</v>
      </c>
      <c r="AD1213" s="664">
        <f t="shared" si="322"/>
        <v>18.136695211766703</v>
      </c>
      <c r="AE1213" s="1901" t="s">
        <v>826</v>
      </c>
    </row>
    <row r="1214" spans="1:31" s="6" customFormat="1" ht="25.5">
      <c r="A1214" s="59"/>
      <c r="B1214" s="634"/>
      <c r="C1214" s="1900"/>
      <c r="D1214" s="1900"/>
      <c r="E1214" s="1900"/>
      <c r="F1214" s="1900"/>
      <c r="G1214" s="1900"/>
      <c r="H1214" s="1900"/>
      <c r="I1214" s="726" t="s">
        <v>868</v>
      </c>
      <c r="J1214" s="1906" t="s">
        <v>869</v>
      </c>
      <c r="K1214" s="597">
        <v>1</v>
      </c>
      <c r="L1214" s="699">
        <f>39719.84+35356.617</f>
        <v>75076.456999999995</v>
      </c>
      <c r="M1214" s="595">
        <v>1</v>
      </c>
      <c r="N1214" s="712">
        <v>26742.185000000001</v>
      </c>
      <c r="O1214" s="385">
        <v>1</v>
      </c>
      <c r="P1214" s="711">
        <v>35356.616999999998</v>
      </c>
      <c r="Q1214" s="669">
        <v>0</v>
      </c>
      <c r="R1214" s="386">
        <v>0</v>
      </c>
      <c r="S1214" s="385"/>
      <c r="T1214" s="59"/>
      <c r="U1214" s="59"/>
      <c r="V1214" s="59"/>
      <c r="W1214" s="59"/>
      <c r="X1214" s="59"/>
      <c r="Y1214" s="61">
        <f>Q1214+S1214+U1214+W1214</f>
        <v>0</v>
      </c>
      <c r="Z1214" s="664">
        <f>R1214</f>
        <v>0</v>
      </c>
      <c r="AA1214" s="678">
        <f>M1214+Y1214</f>
        <v>1</v>
      </c>
      <c r="AB1214" s="665">
        <f t="shared" si="323"/>
        <v>26742.185000000001</v>
      </c>
      <c r="AC1214" s="679">
        <f t="shared" si="322"/>
        <v>100</v>
      </c>
      <c r="AD1214" s="664">
        <f t="shared" si="322"/>
        <v>35.61993475531218</v>
      </c>
      <c r="AE1214" s="1901" t="s">
        <v>826</v>
      </c>
    </row>
    <row r="1215" spans="1:31" s="6" customFormat="1" ht="51">
      <c r="A1215" s="59"/>
      <c r="B1215" s="2339" t="s">
        <v>870</v>
      </c>
      <c r="C1215" s="1900">
        <v>2</v>
      </c>
      <c r="D1215" s="1900" t="s">
        <v>107</v>
      </c>
      <c r="E1215" s="1900" t="s">
        <v>196</v>
      </c>
      <c r="F1215" s="1900" t="s">
        <v>65</v>
      </c>
      <c r="G1215" s="1900" t="s">
        <v>66</v>
      </c>
      <c r="H1215" s="1900"/>
      <c r="I1215" s="725" t="s">
        <v>871</v>
      </c>
      <c r="J1215" s="618" t="s">
        <v>872</v>
      </c>
      <c r="K1215" s="620">
        <v>72</v>
      </c>
      <c r="L1215" s="713">
        <f>SUM(L1216:L1227)</f>
        <v>3067772.264</v>
      </c>
      <c r="M1215" s="617">
        <v>24</v>
      </c>
      <c r="N1215" s="714">
        <f>SUM(N1216:N1227)</f>
        <v>1105940.872</v>
      </c>
      <c r="O1215" s="616">
        <v>12</v>
      </c>
      <c r="P1215" s="715">
        <v>561930.701</v>
      </c>
      <c r="Q1215" s="669">
        <v>0</v>
      </c>
      <c r="R1215" s="624">
        <f>SUM(R1216:R1227)</f>
        <v>132839.59</v>
      </c>
      <c r="S1215" s="385"/>
      <c r="T1215" s="59"/>
      <c r="U1215" s="59"/>
      <c r="V1215" s="59"/>
      <c r="W1215" s="59"/>
      <c r="X1215" s="59"/>
      <c r="Y1215" s="61">
        <f t="shared" ref="Y1215:Y1227" si="324">Q1215+S1215+U1215+W1215</f>
        <v>0</v>
      </c>
      <c r="Z1215" s="664">
        <f t="shared" ref="Z1215:Z1227" si="325">R1215</f>
        <v>132839.59</v>
      </c>
      <c r="AA1215" s="678">
        <f t="shared" ref="AA1215:AB1227" si="326">M1215+Y1215</f>
        <v>24</v>
      </c>
      <c r="AB1215" s="665">
        <f t="shared" si="326"/>
        <v>1238780.4620000001</v>
      </c>
      <c r="AC1215" s="679">
        <f t="shared" si="322"/>
        <v>33.333333333333329</v>
      </c>
      <c r="AD1215" s="664">
        <f t="shared" si="322"/>
        <v>40.380457067721899</v>
      </c>
      <c r="AE1215" s="1901" t="s">
        <v>826</v>
      </c>
    </row>
    <row r="1216" spans="1:31" s="6" customFormat="1" ht="51">
      <c r="A1216" s="59"/>
      <c r="B1216" s="2383"/>
      <c r="C1216" s="1900"/>
      <c r="D1216" s="1900"/>
      <c r="E1216" s="1900"/>
      <c r="F1216" s="1900"/>
      <c r="G1216" s="1900"/>
      <c r="H1216" s="1900"/>
      <c r="I1216" s="724" t="s">
        <v>873</v>
      </c>
      <c r="J1216" s="1906" t="s">
        <v>874</v>
      </c>
      <c r="K1216" s="597">
        <v>72</v>
      </c>
      <c r="L1216" s="699">
        <v>257400</v>
      </c>
      <c r="M1216" s="595">
        <v>24</v>
      </c>
      <c r="N1216" s="670">
        <f>37372.956+43916.084</f>
        <v>81289.040000000008</v>
      </c>
      <c r="O1216" s="597">
        <v>12</v>
      </c>
      <c r="P1216" s="711">
        <v>56000</v>
      </c>
      <c r="Q1216" s="669">
        <v>3</v>
      </c>
      <c r="R1216" s="386">
        <v>23653.751</v>
      </c>
      <c r="S1216" s="385"/>
      <c r="T1216" s="59"/>
      <c r="U1216" s="59"/>
      <c r="V1216" s="59"/>
      <c r="W1216" s="59"/>
      <c r="X1216" s="59"/>
      <c r="Y1216" s="61">
        <f t="shared" si="324"/>
        <v>3</v>
      </c>
      <c r="Z1216" s="664">
        <f t="shared" si="325"/>
        <v>23653.751</v>
      </c>
      <c r="AA1216" s="678">
        <f t="shared" si="326"/>
        <v>27</v>
      </c>
      <c r="AB1216" s="665">
        <f t="shared" si="326"/>
        <v>104942.79100000001</v>
      </c>
      <c r="AC1216" s="679">
        <f t="shared" si="322"/>
        <v>37.5</v>
      </c>
      <c r="AD1216" s="664">
        <f t="shared" si="322"/>
        <v>40.770315073815077</v>
      </c>
      <c r="AE1216" s="1901" t="s">
        <v>826</v>
      </c>
    </row>
    <row r="1217" spans="1:31" s="6" customFormat="1" ht="27.75" customHeight="1">
      <c r="A1217" s="59"/>
      <c r="B1217" s="2340"/>
      <c r="C1217" s="1900"/>
      <c r="D1217" s="1900"/>
      <c r="E1217" s="1900"/>
      <c r="F1217" s="1900"/>
      <c r="G1217" s="1900"/>
      <c r="H1217" s="1900"/>
      <c r="I1217" s="724" t="s">
        <v>148</v>
      </c>
      <c r="J1217" s="1906" t="s">
        <v>875</v>
      </c>
      <c r="K1217" s="597">
        <v>72</v>
      </c>
      <c r="L1217" s="699">
        <v>572400</v>
      </c>
      <c r="M1217" s="595">
        <v>24</v>
      </c>
      <c r="N1217" s="670">
        <f>95400+142850</f>
        <v>238250</v>
      </c>
      <c r="O1217" s="597">
        <v>20</v>
      </c>
      <c r="P1217" s="711">
        <v>140920</v>
      </c>
      <c r="Q1217" s="669">
        <v>3</v>
      </c>
      <c r="R1217" s="386">
        <v>31800</v>
      </c>
      <c r="S1217" s="385"/>
      <c r="T1217" s="59"/>
      <c r="U1217" s="59"/>
      <c r="V1217" s="59"/>
      <c r="W1217" s="59"/>
      <c r="X1217" s="59"/>
      <c r="Y1217" s="61">
        <f t="shared" si="324"/>
        <v>3</v>
      </c>
      <c r="Z1217" s="664">
        <f t="shared" si="325"/>
        <v>31800</v>
      </c>
      <c r="AA1217" s="678">
        <f t="shared" si="326"/>
        <v>27</v>
      </c>
      <c r="AB1217" s="665">
        <f t="shared" si="326"/>
        <v>270050</v>
      </c>
      <c r="AC1217" s="679">
        <f t="shared" si="322"/>
        <v>37.5</v>
      </c>
      <c r="AD1217" s="664">
        <f t="shared" si="322"/>
        <v>47.178546470999301</v>
      </c>
      <c r="AE1217" s="1901" t="s">
        <v>826</v>
      </c>
    </row>
    <row r="1218" spans="1:31" s="6" customFormat="1" ht="38.25">
      <c r="A1218" s="59"/>
      <c r="B1218" s="634"/>
      <c r="C1218" s="1900"/>
      <c r="D1218" s="1900"/>
      <c r="E1218" s="1900"/>
      <c r="F1218" s="1900"/>
      <c r="G1218" s="1900"/>
      <c r="H1218" s="1900"/>
      <c r="I1218" s="727" t="s">
        <v>876</v>
      </c>
      <c r="J1218" s="1906" t="s">
        <v>877</v>
      </c>
      <c r="K1218" s="597">
        <v>72</v>
      </c>
      <c r="L1218" s="699">
        <v>41172</v>
      </c>
      <c r="M1218" s="595">
        <v>24</v>
      </c>
      <c r="N1218" s="670">
        <f>6862+5458</f>
        <v>12320</v>
      </c>
      <c r="O1218" s="597">
        <v>12</v>
      </c>
      <c r="P1218" s="711">
        <v>30858</v>
      </c>
      <c r="Q1218" s="669">
        <v>3</v>
      </c>
      <c r="R1218" s="386">
        <v>5049.5</v>
      </c>
      <c r="S1218" s="385"/>
      <c r="T1218" s="59"/>
      <c r="U1218" s="59"/>
      <c r="V1218" s="59"/>
      <c r="W1218" s="59"/>
      <c r="X1218" s="59"/>
      <c r="Y1218" s="61">
        <f t="shared" si="324"/>
        <v>3</v>
      </c>
      <c r="Z1218" s="664">
        <f t="shared" si="325"/>
        <v>5049.5</v>
      </c>
      <c r="AA1218" s="678">
        <f t="shared" si="326"/>
        <v>27</v>
      </c>
      <c r="AB1218" s="665">
        <f t="shared" si="326"/>
        <v>17369.5</v>
      </c>
      <c r="AC1218" s="679">
        <f t="shared" si="322"/>
        <v>37.5</v>
      </c>
      <c r="AD1218" s="664">
        <f t="shared" si="322"/>
        <v>42.187651802195667</v>
      </c>
      <c r="AE1218" s="1901" t="s">
        <v>826</v>
      </c>
    </row>
    <row r="1219" spans="1:31" s="6" customFormat="1" ht="51">
      <c r="A1219" s="59"/>
      <c r="B1219" s="634"/>
      <c r="C1219" s="1900"/>
      <c r="D1219" s="1900"/>
      <c r="E1219" s="1900"/>
      <c r="F1219" s="1900"/>
      <c r="G1219" s="1900"/>
      <c r="H1219" s="1900"/>
      <c r="I1219" s="728" t="s">
        <v>878</v>
      </c>
      <c r="J1219" s="1906" t="s">
        <v>879</v>
      </c>
      <c r="K1219" s="597">
        <v>72</v>
      </c>
      <c r="L1219" s="699">
        <v>93900</v>
      </c>
      <c r="M1219" s="595">
        <v>24</v>
      </c>
      <c r="N1219" s="670">
        <f>14736.5+20447</f>
        <v>35183.5</v>
      </c>
      <c r="O1219" s="597">
        <v>12</v>
      </c>
      <c r="P1219" s="711">
        <v>20040</v>
      </c>
      <c r="Q1219" s="669">
        <v>3</v>
      </c>
      <c r="R1219" s="386">
        <v>1377</v>
      </c>
      <c r="S1219" s="385"/>
      <c r="T1219" s="59"/>
      <c r="U1219" s="59"/>
      <c r="V1219" s="59"/>
      <c r="W1219" s="59"/>
      <c r="X1219" s="59"/>
      <c r="Y1219" s="61">
        <f t="shared" si="324"/>
        <v>3</v>
      </c>
      <c r="Z1219" s="664">
        <f t="shared" si="325"/>
        <v>1377</v>
      </c>
      <c r="AA1219" s="678">
        <f t="shared" si="326"/>
        <v>27</v>
      </c>
      <c r="AB1219" s="665">
        <f t="shared" si="326"/>
        <v>36560.5</v>
      </c>
      <c r="AC1219" s="679">
        <f t="shared" si="322"/>
        <v>37.5</v>
      </c>
      <c r="AD1219" s="664">
        <f t="shared" si="322"/>
        <v>38.935569755058573</v>
      </c>
      <c r="AE1219" s="1901" t="s">
        <v>826</v>
      </c>
    </row>
    <row r="1220" spans="1:31" s="6" customFormat="1" ht="27.75" customHeight="1">
      <c r="A1220" s="59"/>
      <c r="B1220" s="634"/>
      <c r="C1220" s="1900"/>
      <c r="D1220" s="1900"/>
      <c r="E1220" s="1900"/>
      <c r="F1220" s="1900"/>
      <c r="G1220" s="1900"/>
      <c r="H1220" s="1900"/>
      <c r="I1220" s="384" t="s">
        <v>880</v>
      </c>
      <c r="J1220" s="1906" t="s">
        <v>881</v>
      </c>
      <c r="K1220" s="597">
        <v>72</v>
      </c>
      <c r="L1220" s="699">
        <v>209496.264</v>
      </c>
      <c r="M1220" s="595">
        <v>24</v>
      </c>
      <c r="N1220" s="670">
        <f>34911.562+34846.246</f>
        <v>69757.80799999999</v>
      </c>
      <c r="O1220" s="597">
        <v>12</v>
      </c>
      <c r="P1220" s="711">
        <v>35034.000999999997</v>
      </c>
      <c r="Q1220" s="669">
        <v>3</v>
      </c>
      <c r="R1220" s="386">
        <v>8873.7649999999994</v>
      </c>
      <c r="S1220" s="385"/>
      <c r="T1220" s="59"/>
      <c r="U1220" s="59"/>
      <c r="V1220" s="59"/>
      <c r="W1220" s="59"/>
      <c r="X1220" s="59"/>
      <c r="Y1220" s="61">
        <f t="shared" si="324"/>
        <v>3</v>
      </c>
      <c r="Z1220" s="664">
        <f t="shared" si="325"/>
        <v>8873.7649999999994</v>
      </c>
      <c r="AA1220" s="678">
        <f t="shared" si="326"/>
        <v>27</v>
      </c>
      <c r="AB1220" s="665">
        <f t="shared" si="326"/>
        <v>78631.572999999989</v>
      </c>
      <c r="AC1220" s="679">
        <f t="shared" si="322"/>
        <v>37.5</v>
      </c>
      <c r="AD1220" s="664">
        <f t="shared" si="322"/>
        <v>37.533639740706782</v>
      </c>
      <c r="AE1220" s="1901" t="s">
        <v>826</v>
      </c>
    </row>
    <row r="1221" spans="1:31" s="6" customFormat="1" ht="38.25">
      <c r="A1221" s="59"/>
      <c r="B1221" s="634"/>
      <c r="C1221" s="1900"/>
      <c r="D1221" s="1900"/>
      <c r="E1221" s="1900"/>
      <c r="F1221" s="1900"/>
      <c r="G1221" s="1900"/>
      <c r="H1221" s="1900"/>
      <c r="I1221" s="727" t="s">
        <v>882</v>
      </c>
      <c r="J1221" s="728" t="s">
        <v>883</v>
      </c>
      <c r="K1221" s="597">
        <v>72</v>
      </c>
      <c r="L1221" s="699">
        <v>136962</v>
      </c>
      <c r="M1221" s="716">
        <v>24</v>
      </c>
      <c r="N1221" s="717">
        <f>22823.9+23510</f>
        <v>46333.9</v>
      </c>
      <c r="O1221" s="718">
        <v>12</v>
      </c>
      <c r="P1221" s="711">
        <v>26970.400000000001</v>
      </c>
      <c r="Q1221" s="719">
        <v>3</v>
      </c>
      <c r="R1221" s="699">
        <v>11503.2</v>
      </c>
      <c r="S1221" s="711"/>
      <c r="T1221" s="720"/>
      <c r="U1221" s="720"/>
      <c r="V1221" s="720"/>
      <c r="W1221" s="720"/>
      <c r="X1221" s="720"/>
      <c r="Y1221" s="720">
        <f t="shared" si="324"/>
        <v>3</v>
      </c>
      <c r="Z1221" s="664">
        <f t="shared" si="325"/>
        <v>11503.2</v>
      </c>
      <c r="AA1221" s="721">
        <f t="shared" si="326"/>
        <v>27</v>
      </c>
      <c r="AB1221" s="664">
        <f t="shared" si="326"/>
        <v>57837.100000000006</v>
      </c>
      <c r="AC1221" s="679">
        <f t="shared" si="322"/>
        <v>37.5</v>
      </c>
      <c r="AD1221" s="664">
        <f t="shared" si="322"/>
        <v>42.228574349089534</v>
      </c>
      <c r="AE1221" s="1901" t="s">
        <v>826</v>
      </c>
    </row>
    <row r="1222" spans="1:31" s="6" customFormat="1" ht="51">
      <c r="A1222" s="59"/>
      <c r="B1222" s="634"/>
      <c r="C1222" s="1900"/>
      <c r="D1222" s="1900"/>
      <c r="E1222" s="1900"/>
      <c r="F1222" s="1900"/>
      <c r="G1222" s="1900"/>
      <c r="H1222" s="1900"/>
      <c r="I1222" s="724" t="s">
        <v>884</v>
      </c>
      <c r="J1222" s="1906" t="s">
        <v>885</v>
      </c>
      <c r="K1222" s="597">
        <v>72</v>
      </c>
      <c r="L1222" s="699">
        <v>55482</v>
      </c>
      <c r="M1222" s="716">
        <v>24</v>
      </c>
      <c r="N1222" s="717">
        <f>9247+56387</f>
        <v>65634</v>
      </c>
      <c r="O1222" s="718">
        <v>12</v>
      </c>
      <c r="P1222" s="711">
        <v>5570.8</v>
      </c>
      <c r="Q1222" s="719">
        <v>3</v>
      </c>
      <c r="R1222" s="699">
        <v>248.4</v>
      </c>
      <c r="S1222" s="711"/>
      <c r="T1222" s="720"/>
      <c r="U1222" s="720"/>
      <c r="V1222" s="720"/>
      <c r="W1222" s="720"/>
      <c r="X1222" s="720"/>
      <c r="Y1222" s="720">
        <f t="shared" si="324"/>
        <v>3</v>
      </c>
      <c r="Z1222" s="664">
        <f t="shared" si="325"/>
        <v>248.4</v>
      </c>
      <c r="AA1222" s="721">
        <f t="shared" si="326"/>
        <v>27</v>
      </c>
      <c r="AB1222" s="664">
        <f t="shared" si="326"/>
        <v>65882.399999999994</v>
      </c>
      <c r="AC1222" s="679">
        <f t="shared" si="322"/>
        <v>37.5</v>
      </c>
      <c r="AD1222" s="664">
        <f t="shared" si="322"/>
        <v>118.74553909376013</v>
      </c>
      <c r="AE1222" s="1901" t="s">
        <v>826</v>
      </c>
    </row>
    <row r="1223" spans="1:31" s="6" customFormat="1" ht="51">
      <c r="A1223" s="59"/>
      <c r="B1223" s="634"/>
      <c r="C1223" s="1900"/>
      <c r="D1223" s="1900"/>
      <c r="E1223" s="1900"/>
      <c r="F1223" s="1900"/>
      <c r="G1223" s="1900"/>
      <c r="H1223" s="1900"/>
      <c r="I1223" s="724" t="s">
        <v>886</v>
      </c>
      <c r="J1223" s="1906" t="s">
        <v>887</v>
      </c>
      <c r="K1223" s="597">
        <v>72</v>
      </c>
      <c r="L1223" s="699">
        <v>36000</v>
      </c>
      <c r="M1223" s="716">
        <v>24</v>
      </c>
      <c r="N1223" s="717">
        <f>7893+4900</f>
        <v>12793</v>
      </c>
      <c r="O1223" s="718">
        <v>12</v>
      </c>
      <c r="P1223" s="711">
        <v>5420</v>
      </c>
      <c r="Q1223" s="719">
        <v>3</v>
      </c>
      <c r="R1223" s="699">
        <v>600</v>
      </c>
      <c r="S1223" s="711"/>
      <c r="T1223" s="720"/>
      <c r="U1223" s="720"/>
      <c r="V1223" s="720"/>
      <c r="W1223" s="720"/>
      <c r="X1223" s="720"/>
      <c r="Y1223" s="720">
        <f t="shared" si="324"/>
        <v>3</v>
      </c>
      <c r="Z1223" s="664">
        <f t="shared" si="325"/>
        <v>600</v>
      </c>
      <c r="AA1223" s="721">
        <f t="shared" si="326"/>
        <v>27</v>
      </c>
      <c r="AB1223" s="664">
        <f t="shared" si="326"/>
        <v>13393</v>
      </c>
      <c r="AC1223" s="679">
        <f t="shared" ref="AC1223:AD1227" si="327">AA1223/K1223*100</f>
        <v>37.5</v>
      </c>
      <c r="AD1223" s="664">
        <f t="shared" si="327"/>
        <v>37.202777777777776</v>
      </c>
      <c r="AE1223" s="1901" t="s">
        <v>826</v>
      </c>
    </row>
    <row r="1224" spans="1:31" s="6" customFormat="1" ht="27.75" customHeight="1">
      <c r="A1224" s="59"/>
      <c r="B1224" s="634"/>
      <c r="C1224" s="1900"/>
      <c r="D1224" s="1900"/>
      <c r="E1224" s="1900"/>
      <c r="F1224" s="1900"/>
      <c r="G1224" s="1900"/>
      <c r="H1224" s="1900"/>
      <c r="I1224" s="727" t="s">
        <v>223</v>
      </c>
      <c r="J1224" s="1906" t="s">
        <v>888</v>
      </c>
      <c r="K1224" s="597">
        <v>72</v>
      </c>
      <c r="L1224" s="699">
        <v>164340</v>
      </c>
      <c r="M1224" s="716">
        <v>24</v>
      </c>
      <c r="N1224" s="717">
        <f>27206+24021</f>
        <v>51227</v>
      </c>
      <c r="O1224" s="718">
        <v>12</v>
      </c>
      <c r="P1224" s="711">
        <v>50722.5</v>
      </c>
      <c r="Q1224" s="719">
        <v>3</v>
      </c>
      <c r="R1224" s="699">
        <v>2772.5</v>
      </c>
      <c r="S1224" s="711"/>
      <c r="T1224" s="720"/>
      <c r="U1224" s="720"/>
      <c r="V1224" s="720"/>
      <c r="W1224" s="720"/>
      <c r="X1224" s="720"/>
      <c r="Y1224" s="720">
        <f t="shared" si="324"/>
        <v>3</v>
      </c>
      <c r="Z1224" s="664">
        <f t="shared" si="325"/>
        <v>2772.5</v>
      </c>
      <c r="AA1224" s="721">
        <f t="shared" si="326"/>
        <v>27</v>
      </c>
      <c r="AB1224" s="664">
        <f t="shared" si="326"/>
        <v>53999.5</v>
      </c>
      <c r="AC1224" s="679">
        <f t="shared" si="327"/>
        <v>37.5</v>
      </c>
      <c r="AD1224" s="664">
        <f t="shared" si="327"/>
        <v>32.858403310210541</v>
      </c>
      <c r="AE1224" s="1901" t="s">
        <v>826</v>
      </c>
    </row>
    <row r="1225" spans="1:31" s="6" customFormat="1" ht="27.75" customHeight="1">
      <c r="A1225" s="59"/>
      <c r="B1225" s="634"/>
      <c r="C1225" s="1900"/>
      <c r="D1225" s="1900"/>
      <c r="E1225" s="1900"/>
      <c r="F1225" s="1900"/>
      <c r="G1225" s="1900"/>
      <c r="H1225" s="1900"/>
      <c r="I1225" s="727" t="s">
        <v>889</v>
      </c>
      <c r="J1225" s="728" t="s">
        <v>890</v>
      </c>
      <c r="K1225" s="597">
        <v>72</v>
      </c>
      <c r="L1225" s="699">
        <v>859440</v>
      </c>
      <c r="M1225" s="716">
        <v>24</v>
      </c>
      <c r="N1225" s="717">
        <f>143195.187+154442.437</f>
        <v>297637.62400000001</v>
      </c>
      <c r="O1225" s="718">
        <v>12</v>
      </c>
      <c r="P1225" s="711">
        <v>104800</v>
      </c>
      <c r="Q1225" s="719">
        <v>3</v>
      </c>
      <c r="R1225" s="699">
        <v>16450</v>
      </c>
      <c r="S1225" s="711"/>
      <c r="T1225" s="720"/>
      <c r="U1225" s="720"/>
      <c r="V1225" s="720"/>
      <c r="W1225" s="720"/>
      <c r="X1225" s="720"/>
      <c r="Y1225" s="720">
        <f t="shared" si="324"/>
        <v>3</v>
      </c>
      <c r="Z1225" s="664">
        <f t="shared" si="325"/>
        <v>16450</v>
      </c>
      <c r="AA1225" s="721">
        <f t="shared" si="326"/>
        <v>27</v>
      </c>
      <c r="AB1225" s="664">
        <f t="shared" si="326"/>
        <v>314087.62400000001</v>
      </c>
      <c r="AC1225" s="679">
        <f t="shared" si="327"/>
        <v>37.5</v>
      </c>
      <c r="AD1225" s="664">
        <f t="shared" si="327"/>
        <v>36.545613888113195</v>
      </c>
      <c r="AE1225" s="1901" t="s">
        <v>826</v>
      </c>
    </row>
    <row r="1226" spans="1:31" s="6" customFormat="1" ht="51">
      <c r="A1226" s="59"/>
      <c r="B1226" s="634"/>
      <c r="C1226" s="1900"/>
      <c r="D1226" s="1900"/>
      <c r="E1226" s="1900"/>
      <c r="F1226" s="1900"/>
      <c r="G1226" s="1900"/>
      <c r="H1226" s="1900"/>
      <c r="I1226" s="727" t="s">
        <v>891</v>
      </c>
      <c r="J1226" s="728" t="s">
        <v>892</v>
      </c>
      <c r="K1226" s="597">
        <v>72</v>
      </c>
      <c r="L1226" s="699">
        <v>534900</v>
      </c>
      <c r="M1226" s="716">
        <v>24</v>
      </c>
      <c r="N1226" s="717">
        <f>89135+106380</f>
        <v>195515</v>
      </c>
      <c r="O1226" s="718">
        <v>12</v>
      </c>
      <c r="P1226" s="711">
        <v>59025</v>
      </c>
      <c r="Q1226" s="719">
        <v>3</v>
      </c>
      <c r="R1226" s="699">
        <v>19275</v>
      </c>
      <c r="S1226" s="711"/>
      <c r="T1226" s="720"/>
      <c r="U1226" s="720"/>
      <c r="V1226" s="720"/>
      <c r="W1226" s="720"/>
      <c r="X1226" s="720"/>
      <c r="Y1226" s="720">
        <f t="shared" si="324"/>
        <v>3</v>
      </c>
      <c r="Z1226" s="664">
        <f t="shared" si="325"/>
        <v>19275</v>
      </c>
      <c r="AA1226" s="721">
        <f t="shared" si="326"/>
        <v>27</v>
      </c>
      <c r="AB1226" s="664">
        <f t="shared" si="326"/>
        <v>214790</v>
      </c>
      <c r="AC1226" s="679">
        <f t="shared" si="327"/>
        <v>37.5</v>
      </c>
      <c r="AD1226" s="664">
        <f t="shared" si="327"/>
        <v>40.155169190502896</v>
      </c>
      <c r="AE1226" s="1901" t="s">
        <v>826</v>
      </c>
    </row>
    <row r="1227" spans="1:31" s="6" customFormat="1" ht="51">
      <c r="A1227" s="59"/>
      <c r="B1227" s="634"/>
      <c r="C1227" s="1900"/>
      <c r="D1227" s="1900"/>
      <c r="E1227" s="1900"/>
      <c r="F1227" s="1900"/>
      <c r="G1227" s="1900"/>
      <c r="H1227" s="1900"/>
      <c r="I1227" s="727" t="s">
        <v>893</v>
      </c>
      <c r="J1227" s="728" t="s">
        <v>894</v>
      </c>
      <c r="K1227" s="597">
        <v>48</v>
      </c>
      <c r="L1227" s="699">
        <v>106280</v>
      </c>
      <c r="M1227" s="716">
        <v>24</v>
      </c>
      <c r="N1227" s="717">
        <f>0</f>
        <v>0</v>
      </c>
      <c r="O1227" s="718">
        <v>12</v>
      </c>
      <c r="P1227" s="711">
        <v>26570</v>
      </c>
      <c r="Q1227" s="719">
        <v>3</v>
      </c>
      <c r="R1227" s="699">
        <v>11236.474</v>
      </c>
      <c r="S1227" s="711"/>
      <c r="T1227" s="720"/>
      <c r="U1227" s="720"/>
      <c r="V1227" s="720"/>
      <c r="W1227" s="720"/>
      <c r="X1227" s="720"/>
      <c r="Y1227" s="720">
        <f t="shared" si="324"/>
        <v>3</v>
      </c>
      <c r="Z1227" s="664">
        <f t="shared" si="325"/>
        <v>11236.474</v>
      </c>
      <c r="AA1227" s="721">
        <f t="shared" si="326"/>
        <v>27</v>
      </c>
      <c r="AB1227" s="664">
        <f t="shared" si="326"/>
        <v>11236.474</v>
      </c>
      <c r="AC1227" s="679">
        <f t="shared" si="327"/>
        <v>56.25</v>
      </c>
      <c r="AD1227" s="664">
        <f t="shared" si="327"/>
        <v>10.572519759126834</v>
      </c>
      <c r="AE1227" s="1901" t="s">
        <v>826</v>
      </c>
    </row>
    <row r="1228" spans="1:31" s="6" customFormat="1" ht="38.25">
      <c r="A1228" s="59"/>
      <c r="B1228" s="634"/>
      <c r="C1228" s="1900"/>
      <c r="D1228" s="1900"/>
      <c r="E1228" s="1900"/>
      <c r="F1228" s="1900"/>
      <c r="G1228" s="1900"/>
      <c r="H1228" s="1900"/>
      <c r="I1228" s="618" t="s">
        <v>895</v>
      </c>
      <c r="J1228" s="1906"/>
      <c r="K1228" s="597"/>
      <c r="L1228" s="699"/>
      <c r="M1228" s="716"/>
      <c r="N1228" s="717"/>
      <c r="O1228" s="711"/>
      <c r="P1228" s="715">
        <f>SUM(P1229:P1232)</f>
        <v>605630</v>
      </c>
      <c r="Q1228" s="719"/>
      <c r="R1228" s="699"/>
      <c r="S1228" s="711"/>
      <c r="T1228" s="720"/>
      <c r="U1228" s="720"/>
      <c r="V1228" s="720"/>
      <c r="W1228" s="720"/>
      <c r="X1228" s="720"/>
      <c r="Y1228" s="720"/>
      <c r="Z1228" s="722"/>
      <c r="AA1228" s="720"/>
      <c r="AB1228" s="722"/>
      <c r="AC1228" s="723"/>
      <c r="AD1228" s="720"/>
      <c r="AE1228" s="59"/>
    </row>
    <row r="1229" spans="1:31" s="6" customFormat="1" ht="25.5">
      <c r="A1229" s="59"/>
      <c r="B1229" s="634"/>
      <c r="C1229" s="1900"/>
      <c r="D1229" s="1900"/>
      <c r="E1229" s="1900"/>
      <c r="F1229" s="1900"/>
      <c r="G1229" s="1900"/>
      <c r="H1229" s="1900"/>
      <c r="I1229" s="1906" t="s">
        <v>896</v>
      </c>
      <c r="J1229" s="1906" t="s">
        <v>897</v>
      </c>
      <c r="K1229" s="597">
        <v>24</v>
      </c>
      <c r="L1229" s="699">
        <f>55150+59400+220000</f>
        <v>334550</v>
      </c>
      <c r="M1229" s="716">
        <v>12</v>
      </c>
      <c r="N1229" s="717">
        <f>54525+59200</f>
        <v>113725</v>
      </c>
      <c r="O1229" s="711">
        <v>3</v>
      </c>
      <c r="P1229" s="711">
        <v>127050</v>
      </c>
      <c r="Q1229" s="719">
        <v>3</v>
      </c>
      <c r="R1229" s="699">
        <v>17590</v>
      </c>
      <c r="S1229" s="711"/>
      <c r="T1229" s="720"/>
      <c r="U1229" s="720"/>
      <c r="V1229" s="720"/>
      <c r="W1229" s="720"/>
      <c r="X1229" s="720"/>
      <c r="Y1229" s="720">
        <v>3</v>
      </c>
      <c r="Z1229" s="722">
        <f>R1229</f>
        <v>17590</v>
      </c>
      <c r="AA1229" s="721">
        <f t="shared" ref="AA1229:AB1232" si="328">M1229+Y1229</f>
        <v>15</v>
      </c>
      <c r="AB1229" s="664">
        <f t="shared" si="328"/>
        <v>131315</v>
      </c>
      <c r="AC1229" s="679">
        <f t="shared" ref="AC1229:AD1232" si="329">AA1229/K1229*100</f>
        <v>62.5</v>
      </c>
      <c r="AD1229" s="664">
        <f t="shared" si="329"/>
        <v>39.25123299955164</v>
      </c>
      <c r="AE1229" s="1901" t="s">
        <v>826</v>
      </c>
    </row>
    <row r="1230" spans="1:31" s="6" customFormat="1" ht="25.5">
      <c r="A1230" s="59"/>
      <c r="B1230" s="634"/>
      <c r="C1230" s="1900"/>
      <c r="D1230" s="1900"/>
      <c r="E1230" s="1900"/>
      <c r="F1230" s="1900"/>
      <c r="G1230" s="1900"/>
      <c r="H1230" s="1900"/>
      <c r="I1230" s="727" t="s">
        <v>898</v>
      </c>
      <c r="J1230" s="728" t="s">
        <v>899</v>
      </c>
      <c r="K1230" s="597">
        <v>72</v>
      </c>
      <c r="L1230" s="699">
        <f>125206+77178+300000</f>
        <v>502384</v>
      </c>
      <c r="M1230" s="716">
        <v>24</v>
      </c>
      <c r="N1230" s="717">
        <f>125206+75531</f>
        <v>200737</v>
      </c>
      <c r="O1230" s="711">
        <v>12</v>
      </c>
      <c r="P1230" s="711">
        <v>134000</v>
      </c>
      <c r="Q1230" s="719">
        <v>3</v>
      </c>
      <c r="R1230" s="699">
        <v>29000</v>
      </c>
      <c r="S1230" s="711"/>
      <c r="T1230" s="720"/>
      <c r="U1230" s="720"/>
      <c r="V1230" s="720"/>
      <c r="W1230" s="720"/>
      <c r="X1230" s="720"/>
      <c r="Y1230" s="720">
        <v>3</v>
      </c>
      <c r="Z1230" s="722">
        <f>R1230</f>
        <v>29000</v>
      </c>
      <c r="AA1230" s="721">
        <f t="shared" si="328"/>
        <v>27</v>
      </c>
      <c r="AB1230" s="664">
        <f t="shared" si="328"/>
        <v>229737</v>
      </c>
      <c r="AC1230" s="679">
        <f t="shared" si="329"/>
        <v>37.5</v>
      </c>
      <c r="AD1230" s="664">
        <f t="shared" si="329"/>
        <v>45.729362400076432</v>
      </c>
      <c r="AE1230" s="1901" t="s">
        <v>826</v>
      </c>
    </row>
    <row r="1231" spans="1:31" s="6" customFormat="1" ht="38.25">
      <c r="A1231" s="59"/>
      <c r="B1231" s="634"/>
      <c r="C1231" s="1900"/>
      <c r="D1231" s="1900"/>
      <c r="E1231" s="1900"/>
      <c r="F1231" s="1900"/>
      <c r="G1231" s="1900"/>
      <c r="H1231" s="1900"/>
      <c r="I1231" s="724" t="s">
        <v>900</v>
      </c>
      <c r="J1231" s="728" t="s">
        <v>901</v>
      </c>
      <c r="K1231" s="597">
        <v>72</v>
      </c>
      <c r="L1231" s="699">
        <f>175490.7+178320+575788</f>
        <v>929598.7</v>
      </c>
      <c r="M1231" s="716">
        <v>24</v>
      </c>
      <c r="N1231" s="717">
        <f>160963+148947.7</f>
        <v>309910.7</v>
      </c>
      <c r="O1231" s="711">
        <v>12</v>
      </c>
      <c r="P1231" s="711">
        <v>210400</v>
      </c>
      <c r="Q1231" s="719">
        <v>3</v>
      </c>
      <c r="R1231" s="699">
        <v>29492.5</v>
      </c>
      <c r="S1231" s="711"/>
      <c r="T1231" s="720"/>
      <c r="U1231" s="720"/>
      <c r="V1231" s="720"/>
      <c r="W1231" s="720"/>
      <c r="X1231" s="720"/>
      <c r="Y1231" s="720">
        <v>3</v>
      </c>
      <c r="Z1231" s="722">
        <f>R1231</f>
        <v>29492.5</v>
      </c>
      <c r="AA1231" s="721">
        <f t="shared" si="328"/>
        <v>27</v>
      </c>
      <c r="AB1231" s="664">
        <f t="shared" si="328"/>
        <v>339403.2</v>
      </c>
      <c r="AC1231" s="679">
        <f t="shared" si="329"/>
        <v>37.5</v>
      </c>
      <c r="AD1231" s="664">
        <f t="shared" si="329"/>
        <v>36.510722314908577</v>
      </c>
      <c r="AE1231" s="1901" t="s">
        <v>826</v>
      </c>
    </row>
    <row r="1232" spans="1:31" s="6" customFormat="1" ht="25.5">
      <c r="A1232" s="59"/>
      <c r="B1232" s="634"/>
      <c r="C1232" s="1900"/>
      <c r="D1232" s="1900"/>
      <c r="E1232" s="1900"/>
      <c r="F1232" s="1900"/>
      <c r="G1232" s="1900"/>
      <c r="H1232" s="1900"/>
      <c r="I1232" s="724" t="s">
        <v>902</v>
      </c>
      <c r="J1232" s="1906" t="s">
        <v>903</v>
      </c>
      <c r="K1232" s="597">
        <v>24</v>
      </c>
      <c r="L1232" s="699">
        <f>88890+114530+356000</f>
        <v>559420</v>
      </c>
      <c r="M1232" s="716">
        <v>19</v>
      </c>
      <c r="N1232" s="717">
        <f>82894+110308.95</f>
        <v>193202.95</v>
      </c>
      <c r="O1232" s="711">
        <v>4</v>
      </c>
      <c r="P1232" s="711">
        <v>134180</v>
      </c>
      <c r="Q1232" s="719">
        <v>0</v>
      </c>
      <c r="R1232" s="699">
        <v>0</v>
      </c>
      <c r="S1232" s="711"/>
      <c r="T1232" s="720"/>
      <c r="U1232" s="720"/>
      <c r="V1232" s="720"/>
      <c r="W1232" s="720"/>
      <c r="X1232" s="720"/>
      <c r="Y1232" s="720">
        <v>0</v>
      </c>
      <c r="Z1232" s="722">
        <f>R1232</f>
        <v>0</v>
      </c>
      <c r="AA1232" s="721">
        <f t="shared" si="328"/>
        <v>19</v>
      </c>
      <c r="AB1232" s="664">
        <f t="shared" si="328"/>
        <v>193202.95</v>
      </c>
      <c r="AC1232" s="679">
        <f t="shared" si="329"/>
        <v>79.166666666666657</v>
      </c>
      <c r="AD1232" s="664">
        <f t="shared" si="329"/>
        <v>34.536296521397162</v>
      </c>
      <c r="AE1232" s="1901" t="s">
        <v>826</v>
      </c>
    </row>
    <row r="1233" spans="1:31" s="6" customFormat="1" ht="51">
      <c r="A1233" s="59"/>
      <c r="B1233" s="634"/>
      <c r="C1233" s="1900"/>
      <c r="D1233" s="1900"/>
      <c r="E1233" s="1900"/>
      <c r="F1233" s="1900"/>
      <c r="G1233" s="1900"/>
      <c r="H1233" s="1900"/>
      <c r="I1233" s="725" t="s">
        <v>227</v>
      </c>
      <c r="J1233" s="1906"/>
      <c r="K1233" s="597"/>
      <c r="L1233" s="699"/>
      <c r="M1233" s="716"/>
      <c r="N1233" s="717"/>
      <c r="O1233" s="711"/>
      <c r="P1233" s="711">
        <f>P1234</f>
        <v>26838.457999999999</v>
      </c>
      <c r="Q1233" s="719"/>
      <c r="R1233" s="699"/>
      <c r="S1233" s="711"/>
      <c r="T1233" s="720"/>
      <c r="U1233" s="720"/>
      <c r="V1233" s="720"/>
      <c r="W1233" s="720"/>
      <c r="X1233" s="720"/>
      <c r="Y1233" s="720"/>
      <c r="Z1233" s="722"/>
      <c r="AA1233" s="720"/>
      <c r="AB1233" s="722"/>
      <c r="AC1233" s="723"/>
      <c r="AD1233" s="720"/>
      <c r="AE1233" s="59"/>
    </row>
    <row r="1234" spans="1:31" s="6" customFormat="1" ht="25.5">
      <c r="A1234" s="59"/>
      <c r="B1234" s="634"/>
      <c r="C1234" s="1900"/>
      <c r="D1234" s="1900"/>
      <c r="E1234" s="1900"/>
      <c r="F1234" s="1900"/>
      <c r="G1234" s="1900"/>
      <c r="H1234" s="1900"/>
      <c r="I1234" s="724" t="s">
        <v>904</v>
      </c>
      <c r="J1234" s="728" t="s">
        <v>905</v>
      </c>
      <c r="K1234" s="597">
        <v>24</v>
      </c>
      <c r="L1234" s="699">
        <v>156000</v>
      </c>
      <c r="M1234" s="716">
        <v>8</v>
      </c>
      <c r="N1234" s="717">
        <f>26742.185+26332.092</f>
        <v>53074.277000000002</v>
      </c>
      <c r="O1234" s="711">
        <v>4</v>
      </c>
      <c r="P1234" s="711">
        <v>26838.457999999999</v>
      </c>
      <c r="Q1234" s="719">
        <v>4</v>
      </c>
      <c r="R1234" s="699">
        <v>4842.098</v>
      </c>
      <c r="S1234" s="711"/>
      <c r="T1234" s="720"/>
      <c r="U1234" s="720"/>
      <c r="V1234" s="720"/>
      <c r="W1234" s="720"/>
      <c r="X1234" s="720"/>
      <c r="Y1234" s="720">
        <v>4</v>
      </c>
      <c r="Z1234" s="722">
        <f>R1234</f>
        <v>4842.098</v>
      </c>
      <c r="AA1234" s="721">
        <f>M1234+Y1234</f>
        <v>12</v>
      </c>
      <c r="AB1234" s="664">
        <f>N1234+Z1234</f>
        <v>57916.375</v>
      </c>
      <c r="AC1234" s="679">
        <f>AA1234/K1234*100</f>
        <v>50</v>
      </c>
      <c r="AD1234" s="664">
        <f>AB1234/L1234*100</f>
        <v>37.125881410256412</v>
      </c>
      <c r="AE1234" s="1901" t="s">
        <v>826</v>
      </c>
    </row>
    <row r="1235" spans="1:31" s="6" customFormat="1" ht="15">
      <c r="A1235" s="2398" t="s">
        <v>89</v>
      </c>
      <c r="B1235" s="2398"/>
      <c r="C1235" s="2341"/>
      <c r="D1235" s="2341"/>
      <c r="E1235" s="2341"/>
      <c r="F1235" s="2341"/>
      <c r="G1235" s="2341"/>
      <c r="H1235" s="2341"/>
      <c r="I1235" s="2341"/>
      <c r="J1235" s="2341"/>
      <c r="K1235" s="2341"/>
      <c r="L1235" s="2341"/>
      <c r="M1235" s="2341"/>
      <c r="N1235" s="2341"/>
      <c r="O1235" s="2341"/>
      <c r="P1235" s="2341"/>
      <c r="Q1235" s="2341"/>
      <c r="R1235" s="2341"/>
      <c r="S1235" s="2341"/>
      <c r="T1235" s="2341"/>
      <c r="U1235" s="2341"/>
      <c r="V1235" s="2341"/>
      <c r="W1235" s="2341"/>
      <c r="X1235" s="2341"/>
      <c r="Y1235" s="2341"/>
      <c r="Z1235" s="2341"/>
      <c r="AA1235" s="2341"/>
      <c r="AB1235" s="2341"/>
      <c r="AC1235" s="493">
        <f>AVERAGE(AC1165:AC1234)</f>
        <v>45.855886473335474</v>
      </c>
      <c r="AD1235" s="493">
        <f>AVERAGE(AD1165:AD1234)</f>
        <v>37.192277335632568</v>
      </c>
      <c r="AE1235" s="385"/>
    </row>
    <row r="1236" spans="1:31" s="6" customFormat="1" ht="15">
      <c r="A1236" s="2398" t="s">
        <v>90</v>
      </c>
      <c r="B1236" s="2398"/>
      <c r="C1236" s="2341"/>
      <c r="D1236" s="2341"/>
      <c r="E1236" s="2341"/>
      <c r="F1236" s="2341"/>
      <c r="G1236" s="2341"/>
      <c r="H1236" s="2341"/>
      <c r="I1236" s="2341"/>
      <c r="J1236" s="2341"/>
      <c r="K1236" s="2341"/>
      <c r="L1236" s="2341"/>
      <c r="M1236" s="2341"/>
      <c r="N1236" s="2341"/>
      <c r="O1236" s="2341"/>
      <c r="P1236" s="2341"/>
      <c r="Q1236" s="2341"/>
      <c r="R1236" s="2341"/>
      <c r="S1236" s="2341"/>
      <c r="T1236" s="2341"/>
      <c r="U1236" s="2341"/>
      <c r="V1236" s="2341"/>
      <c r="W1236" s="2341"/>
      <c r="X1236" s="2341"/>
      <c r="Y1236" s="2341"/>
      <c r="Z1236" s="2341"/>
      <c r="AA1236" s="2341"/>
      <c r="AB1236" s="2341"/>
      <c r="AC1236" s="495" t="str">
        <f>IF(AC1235&gt;=45,"ST",IF(AC1235&gt;=38,"T",IF(AC1235&gt;=32,"S",IF(AC1235&gt;=25,"R","SR"))))</f>
        <v>ST</v>
      </c>
      <c r="AD1236" s="495" t="str">
        <f>IF(AD1235&gt;=45,"ST",IF(AD1235&gt;=38,"T",IF(AD1235&gt;=32,"S",IF(AD1235&gt;=25,"R","SR"))))</f>
        <v>S</v>
      </c>
      <c r="AE1236" s="385"/>
    </row>
    <row r="1237" spans="1:31">
      <c r="A1237" s="2318"/>
      <c r="B1237" s="2319"/>
      <c r="C1237" s="2319"/>
      <c r="D1237" s="2319"/>
      <c r="E1237" s="2319"/>
      <c r="F1237" s="2319"/>
      <c r="G1237" s="2319"/>
      <c r="H1237" s="2319"/>
      <c r="I1237" s="2319"/>
      <c r="J1237" s="2319"/>
      <c r="K1237" s="2319"/>
      <c r="L1237" s="2319"/>
      <c r="M1237" s="2319"/>
      <c r="N1237" s="2319"/>
      <c r="O1237" s="2319"/>
      <c r="P1237" s="2319"/>
      <c r="Q1237" s="2319"/>
      <c r="R1237" s="2319"/>
      <c r="S1237" s="2319"/>
      <c r="T1237" s="2319"/>
      <c r="U1237" s="2319"/>
      <c r="V1237" s="2319"/>
      <c r="W1237" s="2319"/>
      <c r="X1237" s="2319"/>
      <c r="Y1237" s="2319"/>
      <c r="Z1237" s="2319"/>
      <c r="AA1237" s="2319"/>
      <c r="AB1237" s="2319"/>
      <c r="AC1237" s="2319"/>
      <c r="AD1237" s="2319"/>
      <c r="AE1237" s="2320"/>
    </row>
    <row r="1238" spans="1:31" s="69" customFormat="1" ht="27.75" customHeight="1">
      <c r="A1238" s="67">
        <v>28</v>
      </c>
      <c r="B1238" s="67"/>
      <c r="C1238" s="67"/>
      <c r="D1238" s="67"/>
      <c r="E1238" s="67"/>
      <c r="F1238" s="67"/>
      <c r="G1238" s="67"/>
      <c r="H1238" s="67"/>
      <c r="I1238" s="68" t="s">
        <v>215</v>
      </c>
      <c r="J1238" s="67"/>
      <c r="K1238" s="67"/>
      <c r="L1238" s="67"/>
      <c r="M1238" s="67"/>
      <c r="N1238" s="67"/>
      <c r="O1238" s="67"/>
      <c r="P1238" s="67"/>
      <c r="Q1238" s="67"/>
      <c r="R1238" s="67"/>
      <c r="S1238" s="67"/>
      <c r="T1238" s="67"/>
      <c r="U1238" s="67"/>
      <c r="V1238" s="67"/>
      <c r="W1238" s="67"/>
      <c r="X1238" s="67"/>
      <c r="Y1238" s="366"/>
      <c r="Z1238" s="67"/>
      <c r="AA1238" s="67"/>
      <c r="AB1238" s="67"/>
      <c r="AC1238" s="67"/>
      <c r="AD1238" s="67"/>
      <c r="AE1238" s="67"/>
    </row>
    <row r="1239" spans="1:31" s="2086" customFormat="1" ht="51">
      <c r="A1239" s="2073">
        <v>5</v>
      </c>
      <c r="B1239" s="2074" t="s">
        <v>2060</v>
      </c>
      <c r="C1239" s="2075" t="s">
        <v>197</v>
      </c>
      <c r="D1239" s="2075">
        <v>1</v>
      </c>
      <c r="E1239" s="2075" t="s">
        <v>65</v>
      </c>
      <c r="F1239" s="2075">
        <v>11</v>
      </c>
      <c r="G1239" s="2075">
        <v>15</v>
      </c>
      <c r="H1239" s="2076"/>
      <c r="I1239" s="2074" t="s">
        <v>2061</v>
      </c>
      <c r="J1239" s="2074" t="s">
        <v>2062</v>
      </c>
      <c r="K1239" s="2077">
        <v>9</v>
      </c>
      <c r="L1239" s="2078">
        <f>SUM(L1241:L1250)</f>
        <v>8684831</v>
      </c>
      <c r="M1239" s="2074">
        <v>1</v>
      </c>
      <c r="N1239" s="2079">
        <f>SUM(N1241:N1248)</f>
        <v>4035951.87</v>
      </c>
      <c r="O1239" s="2074"/>
      <c r="P1239" s="2078">
        <f>SUM(P1241:P1250)</f>
        <v>372216.83</v>
      </c>
      <c r="Q1239" s="2074"/>
      <c r="R1239" s="2078">
        <f>SUM(R1241:R1248)</f>
        <v>27675</v>
      </c>
      <c r="S1239" s="2074"/>
      <c r="T1239" s="2078"/>
      <c r="U1239" s="2074"/>
      <c r="V1239" s="2074"/>
      <c r="W1239" s="2074"/>
      <c r="X1239" s="2074"/>
      <c r="Y1239" s="2080">
        <f t="shared" ref="Y1239:Z1264" si="330">Q1239+S1239+U1239+W1239</f>
        <v>0</v>
      </c>
      <c r="Z1239" s="2078">
        <f>SUM(Z1241:Z1250)</f>
        <v>10493702.5</v>
      </c>
      <c r="AA1239" s="2081">
        <f t="shared" ref="AA1239:AB1239" si="331">M1239+Y1239</f>
        <v>1</v>
      </c>
      <c r="AB1239" s="2082">
        <f t="shared" si="331"/>
        <v>14529654.370000001</v>
      </c>
      <c r="AC1239" s="2083">
        <f t="shared" ref="AC1239:AC1264" si="332">AA1239/K1239*100</f>
        <v>11.111111111111111</v>
      </c>
      <c r="AD1239" s="2084">
        <f t="shared" ref="AD1239" si="333">AB1239/L1239*100%</f>
        <v>1.6729921825767249</v>
      </c>
      <c r="AE1239" s="2085" t="s">
        <v>2058</v>
      </c>
    </row>
    <row r="1240" spans="1:31" s="1384" customFormat="1" ht="51">
      <c r="A1240" s="1375"/>
      <c r="B1240" s="1374"/>
      <c r="C1240" s="1373"/>
      <c r="D1240" s="1373"/>
      <c r="E1240" s="1373"/>
      <c r="F1240" s="1373"/>
      <c r="G1240" s="1373"/>
      <c r="H1240" s="1391"/>
      <c r="I1240" s="1374"/>
      <c r="J1240" s="1374" t="s">
        <v>2063</v>
      </c>
      <c r="K1240" s="1394" t="s">
        <v>2064</v>
      </c>
      <c r="L1240" s="1393"/>
      <c r="M1240" s="1394" t="s">
        <v>2064</v>
      </c>
      <c r="N1240" s="1392"/>
      <c r="O1240" s="1394" t="s">
        <v>2064</v>
      </c>
      <c r="P1240" s="1393"/>
      <c r="Q1240" s="1394" t="s">
        <v>2064</v>
      </c>
      <c r="R1240" s="1393"/>
      <c r="S1240" s="1374"/>
      <c r="T1240" s="1395"/>
      <c r="U1240" s="1374"/>
      <c r="V1240" s="1374"/>
      <c r="W1240" s="1374"/>
      <c r="X1240" s="1374"/>
      <c r="Y1240" s="1389" t="s">
        <v>2065</v>
      </c>
      <c r="Z1240" s="1393"/>
      <c r="AA1240" s="1385" t="s">
        <v>2065</v>
      </c>
      <c r="AB1240" s="1376"/>
      <c r="AC1240" s="1377">
        <v>100</v>
      </c>
      <c r="AD1240" s="1378">
        <v>0</v>
      </c>
      <c r="AE1240" s="1379"/>
    </row>
    <row r="1241" spans="1:31" s="1383" customFormat="1" ht="51">
      <c r="A1241" s="1389"/>
      <c r="B1241" s="1385" t="s">
        <v>2066</v>
      </c>
      <c r="C1241" s="1381" t="s">
        <v>197</v>
      </c>
      <c r="D1241" s="1381">
        <v>1</v>
      </c>
      <c r="E1241" s="1381" t="s">
        <v>65</v>
      </c>
      <c r="F1241" s="1381">
        <v>11</v>
      </c>
      <c r="G1241" s="1381">
        <v>15</v>
      </c>
      <c r="H1241" s="1382" t="s">
        <v>196</v>
      </c>
      <c r="I1241" s="1385" t="s">
        <v>2067</v>
      </c>
      <c r="J1241" s="1385" t="s">
        <v>2068</v>
      </c>
      <c r="K1241" s="233">
        <v>42</v>
      </c>
      <c r="L1241" s="1386">
        <v>540000</v>
      </c>
      <c r="M1241" s="1385">
        <v>12</v>
      </c>
      <c r="N1241" s="1386">
        <f>25862.22+30774.85</f>
        <v>56637.07</v>
      </c>
      <c r="O1241" s="1385">
        <v>15</v>
      </c>
      <c r="P1241" s="1387">
        <v>70860</v>
      </c>
      <c r="Q1241" s="1385"/>
      <c r="R1241" s="1387">
        <v>17202.5</v>
      </c>
      <c r="S1241" s="1385"/>
      <c r="T1241" s="1388"/>
      <c r="U1241" s="1385"/>
      <c r="V1241" s="1385"/>
      <c r="W1241" s="1385"/>
      <c r="X1241" s="1385"/>
      <c r="Y1241" s="1389">
        <f t="shared" si="330"/>
        <v>0</v>
      </c>
      <c r="Z1241" s="1387">
        <f>R1241+T1241+V1241+X1241</f>
        <v>17202.5</v>
      </c>
      <c r="AA1241" s="1385">
        <f t="shared" ref="AA1241:AB1256" si="334">M1241+Y1241</f>
        <v>12</v>
      </c>
      <c r="AB1241" s="1376">
        <f t="shared" si="334"/>
        <v>73839.570000000007</v>
      </c>
      <c r="AC1241" s="1377">
        <f t="shared" si="332"/>
        <v>28.571428571428569</v>
      </c>
      <c r="AD1241" s="1378">
        <f t="shared" ref="AD1241:AD1248" si="335">AB1241/L1241*100%</f>
        <v>0.13673994444444446</v>
      </c>
      <c r="AE1241" s="1379" t="s">
        <v>2058</v>
      </c>
    </row>
    <row r="1242" spans="1:31" s="1383" customFormat="1" ht="38.25">
      <c r="A1242" s="1389"/>
      <c r="B1242" s="1385" t="s">
        <v>2069</v>
      </c>
      <c r="C1242" s="1381" t="s">
        <v>197</v>
      </c>
      <c r="D1242" s="1381">
        <v>1</v>
      </c>
      <c r="E1242" s="1381" t="s">
        <v>65</v>
      </c>
      <c r="F1242" s="1381">
        <v>11</v>
      </c>
      <c r="G1242" s="1381">
        <v>15</v>
      </c>
      <c r="H1242" s="1382" t="s">
        <v>95</v>
      </c>
      <c r="I1242" s="1385" t="s">
        <v>2070</v>
      </c>
      <c r="J1242" s="1385" t="s">
        <v>2071</v>
      </c>
      <c r="K1242" s="233">
        <v>72</v>
      </c>
      <c r="L1242" s="1386">
        <v>2378725</v>
      </c>
      <c r="M1242" s="1385">
        <v>24</v>
      </c>
      <c r="N1242" s="1386">
        <f>61521.8</f>
        <v>61521.8</v>
      </c>
      <c r="O1242" s="1385">
        <v>12</v>
      </c>
      <c r="P1242" s="1387">
        <v>107497.46</v>
      </c>
      <c r="Q1242" s="1385">
        <v>3</v>
      </c>
      <c r="R1242" s="1387">
        <v>6000</v>
      </c>
      <c r="S1242" s="1385"/>
      <c r="T1242" s="1385"/>
      <c r="U1242" s="1385"/>
      <c r="V1242" s="1385"/>
      <c r="W1242" s="1385"/>
      <c r="X1242" s="1385"/>
      <c r="Y1242" s="1389">
        <f t="shared" si="330"/>
        <v>3</v>
      </c>
      <c r="Z1242" s="1387">
        <v>6000000</v>
      </c>
      <c r="AA1242" s="1385">
        <f t="shared" si="334"/>
        <v>27</v>
      </c>
      <c r="AB1242" s="1376">
        <f t="shared" si="334"/>
        <v>6061521.7999999998</v>
      </c>
      <c r="AC1242" s="1377">
        <f t="shared" si="332"/>
        <v>37.5</v>
      </c>
      <c r="AD1242" s="1378">
        <f t="shared" si="335"/>
        <v>2.5482230186339319</v>
      </c>
      <c r="AE1242" s="1379" t="s">
        <v>2058</v>
      </c>
    </row>
    <row r="1243" spans="1:31" s="1383" customFormat="1" ht="38.25">
      <c r="A1243" s="1389"/>
      <c r="B1243" s="1385" t="s">
        <v>2069</v>
      </c>
      <c r="C1243" s="1381" t="s">
        <v>197</v>
      </c>
      <c r="D1243" s="1381">
        <v>1</v>
      </c>
      <c r="E1243" s="1381" t="s">
        <v>65</v>
      </c>
      <c r="F1243" s="1381">
        <v>11</v>
      </c>
      <c r="G1243" s="1381">
        <v>15</v>
      </c>
      <c r="H1243" s="1382" t="s">
        <v>197</v>
      </c>
      <c r="I1243" s="1385" t="s">
        <v>2072</v>
      </c>
      <c r="J1243" s="1385" t="s">
        <v>2073</v>
      </c>
      <c r="K1243" s="233">
        <v>1</v>
      </c>
      <c r="L1243" s="1386">
        <v>68000</v>
      </c>
      <c r="M1243" s="1385">
        <v>1</v>
      </c>
      <c r="N1243" s="1386">
        <v>67083.14</v>
      </c>
      <c r="O1243" s="1385"/>
      <c r="P1243" s="1387"/>
      <c r="Q1243" s="1385"/>
      <c r="R1243" s="1387"/>
      <c r="S1243" s="1385"/>
      <c r="T1243" s="1385"/>
      <c r="U1243" s="1385"/>
      <c r="V1243" s="1385"/>
      <c r="W1243" s="1385"/>
      <c r="X1243" s="1385"/>
      <c r="Y1243" s="1389">
        <f t="shared" si="330"/>
        <v>0</v>
      </c>
      <c r="Z1243" s="1387">
        <f>R1243+T1243+V1243+X1243</f>
        <v>0</v>
      </c>
      <c r="AA1243" s="1385">
        <f t="shared" si="334"/>
        <v>1</v>
      </c>
      <c r="AB1243" s="1376">
        <f t="shared" si="334"/>
        <v>67083.14</v>
      </c>
      <c r="AC1243" s="1377">
        <f t="shared" si="332"/>
        <v>100</v>
      </c>
      <c r="AD1243" s="1378">
        <f t="shared" si="335"/>
        <v>0.98651676470588234</v>
      </c>
      <c r="AE1243" s="1379" t="s">
        <v>2058</v>
      </c>
    </row>
    <row r="1244" spans="1:31" s="1383" customFormat="1" ht="38.25">
      <c r="A1244" s="1389"/>
      <c r="B1244" s="1385" t="s">
        <v>2069</v>
      </c>
      <c r="C1244" s="1381" t="s">
        <v>197</v>
      </c>
      <c r="D1244" s="1381">
        <v>1</v>
      </c>
      <c r="E1244" s="1381" t="s">
        <v>65</v>
      </c>
      <c r="F1244" s="1381">
        <v>11</v>
      </c>
      <c r="G1244" s="1381">
        <v>15</v>
      </c>
      <c r="H1244" s="1382">
        <v>10</v>
      </c>
      <c r="I1244" s="1385" t="s">
        <v>2074</v>
      </c>
      <c r="J1244" s="1385" t="s">
        <v>2075</v>
      </c>
      <c r="K1244" s="233">
        <v>5</v>
      </c>
      <c r="L1244" s="1386">
        <v>59000</v>
      </c>
      <c r="M1244" s="1385">
        <v>5</v>
      </c>
      <c r="N1244" s="1386">
        <v>58296.2</v>
      </c>
      <c r="O1244" s="1385"/>
      <c r="P1244" s="1387"/>
      <c r="Q1244" s="1385"/>
      <c r="R1244" s="1387"/>
      <c r="S1244" s="1385"/>
      <c r="T1244" s="1385"/>
      <c r="U1244" s="1385"/>
      <c r="V1244" s="1385"/>
      <c r="W1244" s="1385"/>
      <c r="X1244" s="1385"/>
      <c r="Y1244" s="1389">
        <f t="shared" si="330"/>
        <v>0</v>
      </c>
      <c r="Z1244" s="1387">
        <f>R1244+T1244+V1244+X1244</f>
        <v>0</v>
      </c>
      <c r="AA1244" s="1385">
        <f t="shared" si="334"/>
        <v>5</v>
      </c>
      <c r="AB1244" s="1376">
        <f t="shared" si="334"/>
        <v>58296.2</v>
      </c>
      <c r="AC1244" s="1377">
        <f t="shared" si="332"/>
        <v>100</v>
      </c>
      <c r="AD1244" s="1378">
        <f t="shared" si="335"/>
        <v>0.98807118644067793</v>
      </c>
      <c r="AE1244" s="1379" t="s">
        <v>2058</v>
      </c>
    </row>
    <row r="1245" spans="1:31" s="1383" customFormat="1" ht="38.25">
      <c r="A1245" s="1389"/>
      <c r="B1245" s="1385" t="s">
        <v>2069</v>
      </c>
      <c r="C1245" s="1381" t="s">
        <v>197</v>
      </c>
      <c r="D1245" s="1381">
        <v>1</v>
      </c>
      <c r="E1245" s="1381" t="s">
        <v>65</v>
      </c>
      <c r="F1245" s="1381">
        <v>11</v>
      </c>
      <c r="G1245" s="1381">
        <v>15</v>
      </c>
      <c r="H1245" s="1382">
        <v>15</v>
      </c>
      <c r="I1245" s="1385" t="s">
        <v>2076</v>
      </c>
      <c r="J1245" s="1385" t="s">
        <v>2077</v>
      </c>
      <c r="K1245" s="233">
        <v>10</v>
      </c>
      <c r="L1245" s="1386">
        <v>62000</v>
      </c>
      <c r="M1245" s="1385">
        <v>10</v>
      </c>
      <c r="N1245" s="1386">
        <v>61581.79</v>
      </c>
      <c r="O1245" s="1385"/>
      <c r="P1245" s="1387"/>
      <c r="Q1245" s="1385"/>
      <c r="R1245" s="1387"/>
      <c r="S1245" s="1385"/>
      <c r="T1245" s="1385"/>
      <c r="U1245" s="1385"/>
      <c r="V1245" s="1385"/>
      <c r="W1245" s="1385"/>
      <c r="X1245" s="1385"/>
      <c r="Y1245" s="1389">
        <f t="shared" si="330"/>
        <v>0</v>
      </c>
      <c r="Z1245" s="1387">
        <f>R1245+T1245+V1245+X1245</f>
        <v>0</v>
      </c>
      <c r="AA1245" s="1385">
        <f t="shared" si="334"/>
        <v>10</v>
      </c>
      <c r="AB1245" s="1376">
        <f t="shared" si="334"/>
        <v>61581.79</v>
      </c>
      <c r="AC1245" s="1377">
        <f t="shared" si="332"/>
        <v>100</v>
      </c>
      <c r="AD1245" s="1378">
        <f t="shared" si="335"/>
        <v>0.9932546774193548</v>
      </c>
      <c r="AE1245" s="1379" t="s">
        <v>2058</v>
      </c>
    </row>
    <row r="1246" spans="1:31" s="1383" customFormat="1" ht="38.25">
      <c r="A1246" s="1389"/>
      <c r="B1246" s="1385" t="s">
        <v>2069</v>
      </c>
      <c r="C1246" s="1381" t="s">
        <v>197</v>
      </c>
      <c r="D1246" s="1381">
        <v>1</v>
      </c>
      <c r="E1246" s="1381" t="s">
        <v>65</v>
      </c>
      <c r="F1246" s="1381">
        <v>11</v>
      </c>
      <c r="G1246" s="1381">
        <v>15</v>
      </c>
      <c r="H1246" s="1382">
        <v>17</v>
      </c>
      <c r="I1246" s="1385" t="s">
        <v>2078</v>
      </c>
      <c r="J1246" s="1385" t="s">
        <v>2079</v>
      </c>
      <c r="K1246" s="233">
        <v>1</v>
      </c>
      <c r="L1246" s="1386">
        <v>3488617</v>
      </c>
      <c r="M1246" s="1385">
        <v>1</v>
      </c>
      <c r="N1246" s="1386">
        <v>3488617</v>
      </c>
      <c r="O1246" s="1385"/>
      <c r="P1246" s="1387"/>
      <c r="Q1246" s="1385"/>
      <c r="R1246" s="1387"/>
      <c r="S1246" s="1385"/>
      <c r="T1246" s="1385"/>
      <c r="U1246" s="1385"/>
      <c r="V1246" s="1385"/>
      <c r="W1246" s="1385"/>
      <c r="X1246" s="1385"/>
      <c r="Y1246" s="1389">
        <f t="shared" si="330"/>
        <v>0</v>
      </c>
      <c r="Z1246" s="1387">
        <f>R1246+T1246+V1246+X1246</f>
        <v>0</v>
      </c>
      <c r="AA1246" s="1385">
        <f t="shared" si="334"/>
        <v>1</v>
      </c>
      <c r="AB1246" s="1376">
        <f t="shared" si="334"/>
        <v>3488617</v>
      </c>
      <c r="AC1246" s="1377">
        <f t="shared" si="332"/>
        <v>100</v>
      </c>
      <c r="AD1246" s="1378">
        <f t="shared" si="335"/>
        <v>1</v>
      </c>
      <c r="AE1246" s="1379" t="s">
        <v>2058</v>
      </c>
    </row>
    <row r="1247" spans="1:31" s="1383" customFormat="1" ht="51">
      <c r="A1247" s="1389"/>
      <c r="B1247" s="1385" t="s">
        <v>2069</v>
      </c>
      <c r="C1247" s="1381" t="s">
        <v>197</v>
      </c>
      <c r="D1247" s="1381">
        <v>1</v>
      </c>
      <c r="E1247" s="1381" t="s">
        <v>65</v>
      </c>
      <c r="F1247" s="1381">
        <v>11</v>
      </c>
      <c r="G1247" s="1381">
        <v>15</v>
      </c>
      <c r="H1247" s="1382">
        <v>18</v>
      </c>
      <c r="I1247" s="1385" t="s">
        <v>2080</v>
      </c>
      <c r="J1247" s="1385" t="s">
        <v>2081</v>
      </c>
      <c r="K1247" s="233">
        <v>12</v>
      </c>
      <c r="L1247" s="1386">
        <v>94854</v>
      </c>
      <c r="M1247" s="1385">
        <v>12</v>
      </c>
      <c r="N1247" s="1386">
        <v>94854.35</v>
      </c>
      <c r="O1247" s="1385"/>
      <c r="P1247" s="1387"/>
      <c r="Q1247" s="1385"/>
      <c r="R1247" s="1387"/>
      <c r="S1247" s="1385"/>
      <c r="T1247" s="1385"/>
      <c r="U1247" s="1385">
        <v>12</v>
      </c>
      <c r="V1247" s="1385"/>
      <c r="W1247" s="1385"/>
      <c r="X1247" s="1385"/>
      <c r="Y1247" s="1389">
        <f t="shared" si="330"/>
        <v>12</v>
      </c>
      <c r="Z1247" s="1387">
        <f>R1247+T1247+V1247+X1247</f>
        <v>0</v>
      </c>
      <c r="AA1247" s="1385">
        <f t="shared" si="334"/>
        <v>24</v>
      </c>
      <c r="AB1247" s="1376">
        <f t="shared" si="334"/>
        <v>94854.35</v>
      </c>
      <c r="AC1247" s="1377">
        <f t="shared" si="332"/>
        <v>200</v>
      </c>
      <c r="AD1247" s="1378">
        <f t="shared" si="335"/>
        <v>1.0000036898812914</v>
      </c>
      <c r="AE1247" s="1379" t="s">
        <v>2058</v>
      </c>
    </row>
    <row r="1248" spans="1:31" s="1383" customFormat="1" ht="51">
      <c r="A1248" s="1389"/>
      <c r="B1248" s="1385" t="s">
        <v>2060</v>
      </c>
      <c r="C1248" s="1381" t="s">
        <v>197</v>
      </c>
      <c r="D1248" s="1381">
        <v>1</v>
      </c>
      <c r="E1248" s="1381" t="s">
        <v>65</v>
      </c>
      <c r="F1248" s="1381">
        <v>11</v>
      </c>
      <c r="G1248" s="1381">
        <v>15</v>
      </c>
      <c r="H1248" s="1382">
        <v>22</v>
      </c>
      <c r="I1248" s="1385" t="s">
        <v>2082</v>
      </c>
      <c r="J1248" s="1385" t="s">
        <v>2083</v>
      </c>
      <c r="K1248" s="233">
        <v>30</v>
      </c>
      <c r="L1248" s="1386">
        <v>1713635</v>
      </c>
      <c r="M1248" s="1385">
        <v>7</v>
      </c>
      <c r="N1248" s="1386">
        <f>0+147360.52</f>
        <v>147360.51999999999</v>
      </c>
      <c r="O1248" s="1385">
        <v>4</v>
      </c>
      <c r="P1248" s="1387">
        <v>124892.91</v>
      </c>
      <c r="Q1248" s="1385"/>
      <c r="R1248" s="1387">
        <v>4472.5</v>
      </c>
      <c r="S1248" s="1385"/>
      <c r="T1248" s="1385"/>
      <c r="U1248" s="1385"/>
      <c r="V1248" s="1385"/>
      <c r="W1248" s="1385"/>
      <c r="X1248" s="1385"/>
      <c r="Y1248" s="1389">
        <f t="shared" si="330"/>
        <v>0</v>
      </c>
      <c r="Z1248" s="1387">
        <v>4472500</v>
      </c>
      <c r="AA1248" s="1385">
        <f t="shared" si="334"/>
        <v>7</v>
      </c>
      <c r="AB1248" s="1376">
        <f t="shared" si="334"/>
        <v>4619860.5199999996</v>
      </c>
      <c r="AC1248" s="1377">
        <f t="shared" si="332"/>
        <v>23.333333333333332</v>
      </c>
      <c r="AD1248" s="1378">
        <f t="shared" si="335"/>
        <v>2.6959419713066084</v>
      </c>
      <c r="AE1248" s="1379" t="s">
        <v>2058</v>
      </c>
    </row>
    <row r="1249" spans="1:31" s="1383" customFormat="1" ht="38.25">
      <c r="A1249" s="1389"/>
      <c r="B1249" s="1385"/>
      <c r="C1249" s="1381"/>
      <c r="D1249" s="1381"/>
      <c r="E1249" s="1381"/>
      <c r="F1249" s="1381"/>
      <c r="G1249" s="1381"/>
      <c r="H1249" s="1382"/>
      <c r="I1249" s="1385"/>
      <c r="J1249" s="1385" t="s">
        <v>2084</v>
      </c>
      <c r="K1249" s="233">
        <v>5</v>
      </c>
      <c r="L1249" s="1386"/>
      <c r="M1249" s="1385">
        <v>1</v>
      </c>
      <c r="N1249" s="1386"/>
      <c r="O1249" s="1385"/>
      <c r="P1249" s="1387"/>
      <c r="Q1249" s="1385"/>
      <c r="R1249" s="1387"/>
      <c r="S1249" s="1385"/>
      <c r="T1249" s="1385"/>
      <c r="U1249" s="1385"/>
      <c r="V1249" s="1385"/>
      <c r="W1249" s="1385"/>
      <c r="X1249" s="1385"/>
      <c r="Y1249" s="1389">
        <f t="shared" si="330"/>
        <v>0</v>
      </c>
      <c r="Z1249" s="1387"/>
      <c r="AA1249" s="1385">
        <f t="shared" si="334"/>
        <v>1</v>
      </c>
      <c r="AB1249" s="1376"/>
      <c r="AC1249" s="1377">
        <f t="shared" si="332"/>
        <v>20</v>
      </c>
      <c r="AD1249" s="1378"/>
      <c r="AE1249" s="1379"/>
    </row>
    <row r="1250" spans="1:31" s="1383" customFormat="1" ht="38.25">
      <c r="A1250" s="1389"/>
      <c r="B1250" s="1390" t="s">
        <v>2060</v>
      </c>
      <c r="C1250" s="1381" t="s">
        <v>197</v>
      </c>
      <c r="D1250" s="1381">
        <v>1</v>
      </c>
      <c r="E1250" s="1381" t="s">
        <v>65</v>
      </c>
      <c r="F1250" s="1381">
        <v>11</v>
      </c>
      <c r="G1250" s="1381">
        <v>15</v>
      </c>
      <c r="H1250" s="1382">
        <v>24</v>
      </c>
      <c r="I1250" s="1385" t="s">
        <v>2085</v>
      </c>
      <c r="J1250" s="1385" t="s">
        <v>2086</v>
      </c>
      <c r="K1250" s="233">
        <v>5</v>
      </c>
      <c r="L1250" s="1386">
        <v>280000</v>
      </c>
      <c r="M1250" s="1385"/>
      <c r="N1250" s="1386">
        <f>0+0</f>
        <v>0</v>
      </c>
      <c r="O1250" s="1385">
        <v>1</v>
      </c>
      <c r="P1250" s="1387">
        <v>68966.460000000006</v>
      </c>
      <c r="Q1250" s="1385"/>
      <c r="R1250" s="1387">
        <v>4000</v>
      </c>
      <c r="S1250" s="1385"/>
      <c r="T1250" s="1385"/>
      <c r="U1250" s="1385"/>
      <c r="V1250" s="1385"/>
      <c r="W1250" s="1385"/>
      <c r="X1250" s="1385"/>
      <c r="Y1250" s="1389">
        <f t="shared" si="330"/>
        <v>0</v>
      </c>
      <c r="Z1250" s="1387">
        <f t="shared" si="330"/>
        <v>4000</v>
      </c>
      <c r="AA1250" s="1385">
        <f t="shared" si="334"/>
        <v>0</v>
      </c>
      <c r="AB1250" s="1376">
        <f t="shared" si="334"/>
        <v>4000</v>
      </c>
      <c r="AC1250" s="1377">
        <f t="shared" si="332"/>
        <v>0</v>
      </c>
      <c r="AD1250" s="1378">
        <f t="shared" ref="AD1250:AD1264" si="336">AB1250/L1250*100%</f>
        <v>1.4285714285714285E-2</v>
      </c>
      <c r="AE1250" s="1379" t="s">
        <v>2058</v>
      </c>
    </row>
    <row r="1251" spans="1:31" s="2086" customFormat="1" ht="51">
      <c r="A1251" s="2073">
        <v>6</v>
      </c>
      <c r="B1251" s="2074" t="s">
        <v>2087</v>
      </c>
      <c r="C1251" s="2087" t="s">
        <v>197</v>
      </c>
      <c r="D1251" s="2087">
        <v>1</v>
      </c>
      <c r="E1251" s="2087" t="s">
        <v>65</v>
      </c>
      <c r="F1251" s="2087">
        <v>11</v>
      </c>
      <c r="G1251" s="2087">
        <v>18</v>
      </c>
      <c r="H1251" s="2088"/>
      <c r="I1251" s="2074" t="s">
        <v>2088</v>
      </c>
      <c r="J1251" s="2074" t="s">
        <v>2089</v>
      </c>
      <c r="K1251" s="2077">
        <v>9</v>
      </c>
      <c r="L1251" s="2078">
        <f>SUM(L1252:L1264)</f>
        <v>64791341</v>
      </c>
      <c r="M1251" s="2074">
        <v>3</v>
      </c>
      <c r="N1251" s="2079">
        <f>SUM(N1252:N1263)</f>
        <v>12690351</v>
      </c>
      <c r="O1251" s="2074">
        <v>3</v>
      </c>
      <c r="P1251" s="2078">
        <f>SUM(P1252:P1263)</f>
        <v>17735701.990000002</v>
      </c>
      <c r="Q1251" s="2074"/>
      <c r="R1251" s="2078">
        <f>SUM(R1252:R1263)</f>
        <v>191533.55</v>
      </c>
      <c r="S1251" s="2074"/>
      <c r="T1251" s="2078"/>
      <c r="U1251" s="2074"/>
      <c r="V1251" s="2074"/>
      <c r="W1251" s="2074"/>
      <c r="X1251" s="2074"/>
      <c r="Y1251" s="2080">
        <f t="shared" si="330"/>
        <v>0</v>
      </c>
      <c r="Z1251" s="2078">
        <f t="shared" si="330"/>
        <v>191533.55</v>
      </c>
      <c r="AA1251" s="2081">
        <f t="shared" si="334"/>
        <v>3</v>
      </c>
      <c r="AB1251" s="2082">
        <f t="shared" si="334"/>
        <v>12881884.550000001</v>
      </c>
      <c r="AC1251" s="2083">
        <f t="shared" si="332"/>
        <v>33.333333333333329</v>
      </c>
      <c r="AD1251" s="2084">
        <f t="shared" si="336"/>
        <v>0.19882108243445681</v>
      </c>
      <c r="AE1251" s="2085" t="s">
        <v>2058</v>
      </c>
    </row>
    <row r="1252" spans="1:31" s="1383" customFormat="1" ht="51">
      <c r="A1252" s="1389"/>
      <c r="B1252" s="1390" t="s">
        <v>2059</v>
      </c>
      <c r="C1252" s="1381" t="s">
        <v>197</v>
      </c>
      <c r="D1252" s="1381">
        <v>1</v>
      </c>
      <c r="E1252" s="1381" t="s">
        <v>65</v>
      </c>
      <c r="F1252" s="1381">
        <v>11</v>
      </c>
      <c r="G1252" s="1381">
        <v>18</v>
      </c>
      <c r="H1252" s="1382" t="s">
        <v>197</v>
      </c>
      <c r="I1252" s="1385" t="s">
        <v>2090</v>
      </c>
      <c r="J1252" s="1385" t="s">
        <v>2091</v>
      </c>
      <c r="K1252" s="233">
        <v>12</v>
      </c>
      <c r="L1252" s="1386">
        <v>938850</v>
      </c>
      <c r="M1252" s="1385">
        <v>4</v>
      </c>
      <c r="N1252" s="1386">
        <f>136822.8+136978.32</f>
        <v>273801.12</v>
      </c>
      <c r="O1252" s="1385">
        <v>2</v>
      </c>
      <c r="P1252" s="1387">
        <v>223106.2</v>
      </c>
      <c r="Q1252" s="1385"/>
      <c r="R1252" s="1387">
        <v>75878.8</v>
      </c>
      <c r="S1252" s="1385"/>
      <c r="T1252" s="1388"/>
      <c r="U1252" s="1385"/>
      <c r="V1252" s="1385"/>
      <c r="W1252" s="1385"/>
      <c r="X1252" s="1385"/>
      <c r="Y1252" s="1389">
        <f t="shared" si="330"/>
        <v>0</v>
      </c>
      <c r="Z1252" s="1387">
        <f t="shared" si="330"/>
        <v>75878.8</v>
      </c>
      <c r="AA1252" s="1385">
        <f t="shared" si="334"/>
        <v>4</v>
      </c>
      <c r="AB1252" s="1376">
        <f t="shared" si="334"/>
        <v>349679.92</v>
      </c>
      <c r="AC1252" s="1377">
        <f t="shared" si="332"/>
        <v>33.333333333333329</v>
      </c>
      <c r="AD1252" s="1378">
        <f t="shared" si="336"/>
        <v>0.37245557863343448</v>
      </c>
      <c r="AE1252" s="1379" t="s">
        <v>2058</v>
      </c>
    </row>
    <row r="1253" spans="1:31" s="1383" customFormat="1" ht="51">
      <c r="A1253" s="1389"/>
      <c r="B1253" s="1390" t="s">
        <v>2092</v>
      </c>
      <c r="C1253" s="1381" t="s">
        <v>197</v>
      </c>
      <c r="D1253" s="1381">
        <v>1</v>
      </c>
      <c r="E1253" s="1381" t="s">
        <v>65</v>
      </c>
      <c r="F1253" s="1381">
        <v>11</v>
      </c>
      <c r="G1253" s="1381">
        <v>18</v>
      </c>
      <c r="H1253" s="1382">
        <v>11</v>
      </c>
      <c r="I1253" s="1385" t="s">
        <v>2093</v>
      </c>
      <c r="J1253" s="1385" t="s">
        <v>2094</v>
      </c>
      <c r="K1253" s="233">
        <v>72</v>
      </c>
      <c r="L1253" s="1386">
        <v>1378644</v>
      </c>
      <c r="M1253" s="1385">
        <v>24</v>
      </c>
      <c r="N1253" s="1386">
        <f>206765.43+197696.25</f>
        <v>404461.68</v>
      </c>
      <c r="O1253" s="1385">
        <v>12</v>
      </c>
      <c r="P1253" s="1387">
        <v>88950</v>
      </c>
      <c r="Q1253" s="1385"/>
      <c r="R1253" s="1387">
        <v>12238.5</v>
      </c>
      <c r="S1253" s="1385"/>
      <c r="T1253" s="1385"/>
      <c r="U1253" s="1385"/>
      <c r="V1253" s="1385"/>
      <c r="W1253" s="1385"/>
      <c r="X1253" s="1385"/>
      <c r="Y1253" s="1389">
        <f t="shared" si="330"/>
        <v>0</v>
      </c>
      <c r="Z1253" s="1387">
        <f t="shared" si="330"/>
        <v>12238.5</v>
      </c>
      <c r="AA1253" s="1385">
        <f t="shared" si="334"/>
        <v>24</v>
      </c>
      <c r="AB1253" s="1376">
        <f t="shared" si="334"/>
        <v>416700.18</v>
      </c>
      <c r="AC1253" s="1377">
        <f t="shared" si="332"/>
        <v>33.333333333333329</v>
      </c>
      <c r="AD1253" s="1378">
        <f t="shared" si="336"/>
        <v>0.30225364923794684</v>
      </c>
      <c r="AE1253" s="1379" t="s">
        <v>2058</v>
      </c>
    </row>
    <row r="1254" spans="1:31" s="1383" customFormat="1" ht="51">
      <c r="A1254" s="1389"/>
      <c r="B1254" s="1390" t="s">
        <v>2092</v>
      </c>
      <c r="C1254" s="1381" t="s">
        <v>197</v>
      </c>
      <c r="D1254" s="1381">
        <v>1</v>
      </c>
      <c r="E1254" s="1381" t="s">
        <v>65</v>
      </c>
      <c r="F1254" s="1381">
        <v>11</v>
      </c>
      <c r="G1254" s="1381">
        <v>18</v>
      </c>
      <c r="H1254" s="1382">
        <v>12</v>
      </c>
      <c r="I1254" s="1385" t="s">
        <v>2095</v>
      </c>
      <c r="J1254" s="1385" t="s">
        <v>2096</v>
      </c>
      <c r="K1254" s="233">
        <v>72</v>
      </c>
      <c r="L1254" s="1386">
        <v>2105724</v>
      </c>
      <c r="M1254" s="1385">
        <v>24</v>
      </c>
      <c r="N1254" s="1386">
        <f>289755.07+307952.9</f>
        <v>597707.97</v>
      </c>
      <c r="O1254" s="1385">
        <v>12</v>
      </c>
      <c r="P1254" s="1387">
        <v>355992.4</v>
      </c>
      <c r="Q1254" s="1385"/>
      <c r="R1254" s="1387">
        <v>35041</v>
      </c>
      <c r="S1254" s="1385"/>
      <c r="T1254" s="1385"/>
      <c r="U1254" s="1385"/>
      <c r="V1254" s="1385"/>
      <c r="W1254" s="1385"/>
      <c r="X1254" s="1385"/>
      <c r="Y1254" s="1389">
        <f t="shared" si="330"/>
        <v>0</v>
      </c>
      <c r="Z1254" s="1387">
        <f t="shared" si="330"/>
        <v>35041</v>
      </c>
      <c r="AA1254" s="1385">
        <f t="shared" si="334"/>
        <v>24</v>
      </c>
      <c r="AB1254" s="1376">
        <f t="shared" si="334"/>
        <v>632748.97</v>
      </c>
      <c r="AC1254" s="1377">
        <f t="shared" si="332"/>
        <v>33.333333333333329</v>
      </c>
      <c r="AD1254" s="1378">
        <f t="shared" si="336"/>
        <v>0.30048998349261347</v>
      </c>
      <c r="AE1254" s="1379" t="s">
        <v>2058</v>
      </c>
    </row>
    <row r="1255" spans="1:31" s="1383" customFormat="1" ht="38.25">
      <c r="A1255" s="1389"/>
      <c r="B1255" s="1385" t="s">
        <v>2097</v>
      </c>
      <c r="C1255" s="1381" t="s">
        <v>197</v>
      </c>
      <c r="D1255" s="1381">
        <v>1</v>
      </c>
      <c r="E1255" s="1381" t="s">
        <v>65</v>
      </c>
      <c r="F1255" s="1381">
        <v>11</v>
      </c>
      <c r="G1255" s="1381">
        <v>18</v>
      </c>
      <c r="H1255" s="1382">
        <v>34</v>
      </c>
      <c r="I1255" s="1385" t="s">
        <v>2098</v>
      </c>
      <c r="J1255" s="1385" t="s">
        <v>2099</v>
      </c>
      <c r="K1255" s="233">
        <v>20</v>
      </c>
      <c r="L1255" s="1386">
        <v>8677932</v>
      </c>
      <c r="M1255" s="1385">
        <v>7</v>
      </c>
      <c r="N1255" s="1386">
        <f>0+1233405.1</f>
        <v>1233405.1000000001</v>
      </c>
      <c r="O1255" s="1385">
        <v>1</v>
      </c>
      <c r="P1255" s="1387">
        <v>150000</v>
      </c>
      <c r="Q1255" s="1385"/>
      <c r="R1255" s="1387">
        <v>0</v>
      </c>
      <c r="S1255" s="1385"/>
      <c r="T1255" s="1388"/>
      <c r="U1255" s="1385"/>
      <c r="V1255" s="1385"/>
      <c r="W1255" s="1385"/>
      <c r="X1255" s="1385"/>
      <c r="Y1255" s="1389">
        <f t="shared" si="330"/>
        <v>0</v>
      </c>
      <c r="Z1255" s="1387">
        <f t="shared" si="330"/>
        <v>0</v>
      </c>
      <c r="AA1255" s="1385">
        <f t="shared" si="334"/>
        <v>7</v>
      </c>
      <c r="AB1255" s="1376">
        <f t="shared" si="334"/>
        <v>1233405.1000000001</v>
      </c>
      <c r="AC1255" s="1377">
        <f t="shared" si="332"/>
        <v>35</v>
      </c>
      <c r="AD1255" s="1378">
        <f t="shared" si="336"/>
        <v>0.14213122435160822</v>
      </c>
      <c r="AE1255" s="1379" t="s">
        <v>2058</v>
      </c>
    </row>
    <row r="1256" spans="1:31" s="1383" customFormat="1" ht="38.25">
      <c r="A1256" s="1389"/>
      <c r="B1256" s="1385" t="s">
        <v>2097</v>
      </c>
      <c r="C1256" s="1381" t="s">
        <v>197</v>
      </c>
      <c r="D1256" s="1381">
        <v>1</v>
      </c>
      <c r="E1256" s="1381" t="s">
        <v>65</v>
      </c>
      <c r="F1256" s="1381">
        <v>11</v>
      </c>
      <c r="G1256" s="1381">
        <v>18</v>
      </c>
      <c r="H1256" s="1382">
        <v>43</v>
      </c>
      <c r="I1256" s="1385" t="s">
        <v>2100</v>
      </c>
      <c r="J1256" s="1385" t="s">
        <v>2101</v>
      </c>
      <c r="K1256" s="233">
        <v>15</v>
      </c>
      <c r="L1256" s="1386">
        <v>9104405</v>
      </c>
      <c r="M1256" s="1385">
        <v>3</v>
      </c>
      <c r="N1256" s="1386">
        <f>0+639325</f>
        <v>639325</v>
      </c>
      <c r="O1256" s="1385">
        <v>4</v>
      </c>
      <c r="P1256" s="1387">
        <v>806000</v>
      </c>
      <c r="Q1256" s="1385"/>
      <c r="R1256" s="1387">
        <v>3243</v>
      </c>
      <c r="S1256" s="1385"/>
      <c r="T1256" s="1385"/>
      <c r="U1256" s="1385"/>
      <c r="V1256" s="1385"/>
      <c r="W1256" s="1385"/>
      <c r="X1256" s="1385"/>
      <c r="Y1256" s="1389">
        <f t="shared" si="330"/>
        <v>0</v>
      </c>
      <c r="Z1256" s="1387">
        <f t="shared" si="330"/>
        <v>3243</v>
      </c>
      <c r="AA1256" s="1385">
        <f t="shared" si="334"/>
        <v>3</v>
      </c>
      <c r="AB1256" s="1376">
        <f t="shared" si="334"/>
        <v>642568</v>
      </c>
      <c r="AC1256" s="1377">
        <f t="shared" si="332"/>
        <v>20</v>
      </c>
      <c r="AD1256" s="1378">
        <f t="shared" si="336"/>
        <v>7.0577703869720204E-2</v>
      </c>
      <c r="AE1256" s="1379" t="s">
        <v>2058</v>
      </c>
    </row>
    <row r="1257" spans="1:31" s="1383" customFormat="1" ht="63.75">
      <c r="A1257" s="1389"/>
      <c r="B1257" s="1385" t="s">
        <v>2097</v>
      </c>
      <c r="C1257" s="1381" t="s">
        <v>197</v>
      </c>
      <c r="D1257" s="1381">
        <v>1</v>
      </c>
      <c r="E1257" s="1381" t="s">
        <v>65</v>
      </c>
      <c r="F1257" s="1381">
        <v>11</v>
      </c>
      <c r="G1257" s="1381">
        <v>18</v>
      </c>
      <c r="H1257" s="1382">
        <v>50</v>
      </c>
      <c r="I1257" s="1385" t="s">
        <v>2102</v>
      </c>
      <c r="J1257" s="1385" t="s">
        <v>2101</v>
      </c>
      <c r="K1257" s="233">
        <v>1</v>
      </c>
      <c r="L1257" s="1386">
        <v>213855</v>
      </c>
      <c r="M1257" s="1385">
        <v>1</v>
      </c>
      <c r="N1257" s="1386">
        <v>213855.12</v>
      </c>
      <c r="O1257" s="1385"/>
      <c r="P1257" s="1387"/>
      <c r="Q1257" s="1385"/>
      <c r="R1257" s="1387"/>
      <c r="S1257" s="1385"/>
      <c r="T1257" s="1385"/>
      <c r="U1257" s="1385"/>
      <c r="V1257" s="1385"/>
      <c r="W1257" s="1385"/>
      <c r="X1257" s="1385"/>
      <c r="Y1257" s="1389">
        <f t="shared" si="330"/>
        <v>0</v>
      </c>
      <c r="Z1257" s="1387">
        <f t="shared" si="330"/>
        <v>0</v>
      </c>
      <c r="AA1257" s="1385">
        <f t="shared" ref="AA1257:AB1264" si="337">M1257+Y1257</f>
        <v>1</v>
      </c>
      <c r="AB1257" s="1376">
        <f t="shared" si="337"/>
        <v>213855.12</v>
      </c>
      <c r="AC1257" s="1377">
        <f t="shared" si="332"/>
        <v>100</v>
      </c>
      <c r="AD1257" s="1378">
        <f t="shared" si="336"/>
        <v>1.0000005611278671</v>
      </c>
      <c r="AE1257" s="1379" t="s">
        <v>2058</v>
      </c>
    </row>
    <row r="1258" spans="1:31" s="1383" customFormat="1" ht="63.75">
      <c r="A1258" s="1389"/>
      <c r="B1258" s="1385" t="s">
        <v>2097</v>
      </c>
      <c r="C1258" s="1381" t="s">
        <v>197</v>
      </c>
      <c r="D1258" s="1381">
        <v>1</v>
      </c>
      <c r="E1258" s="1381" t="s">
        <v>65</v>
      </c>
      <c r="F1258" s="1381">
        <v>11</v>
      </c>
      <c r="G1258" s="1381">
        <v>18</v>
      </c>
      <c r="H1258" s="1382">
        <v>51</v>
      </c>
      <c r="I1258" s="1385" t="s">
        <v>2103</v>
      </c>
      <c r="J1258" s="1385" t="s">
        <v>2101</v>
      </c>
      <c r="K1258" s="233">
        <v>1</v>
      </c>
      <c r="L1258" s="1386">
        <v>199436</v>
      </c>
      <c r="M1258" s="1385">
        <v>1</v>
      </c>
      <c r="N1258" s="1386">
        <v>199435.57</v>
      </c>
      <c r="O1258" s="1385"/>
      <c r="P1258" s="1387"/>
      <c r="Q1258" s="1385"/>
      <c r="R1258" s="1387"/>
      <c r="S1258" s="1385"/>
      <c r="T1258" s="1385"/>
      <c r="U1258" s="1385"/>
      <c r="V1258" s="1385"/>
      <c r="W1258" s="1385"/>
      <c r="X1258" s="1385"/>
      <c r="Y1258" s="1389">
        <f t="shared" si="330"/>
        <v>0</v>
      </c>
      <c r="Z1258" s="1387">
        <f t="shared" si="330"/>
        <v>0</v>
      </c>
      <c r="AA1258" s="1385">
        <f t="shared" si="337"/>
        <v>1</v>
      </c>
      <c r="AB1258" s="1376">
        <f t="shared" si="337"/>
        <v>199435.57</v>
      </c>
      <c r="AC1258" s="1377">
        <f t="shared" si="332"/>
        <v>100</v>
      </c>
      <c r="AD1258" s="1378">
        <f t="shared" si="336"/>
        <v>0.99999784391985402</v>
      </c>
      <c r="AE1258" s="1379" t="s">
        <v>2058</v>
      </c>
    </row>
    <row r="1259" spans="1:31" s="1383" customFormat="1" ht="38.25">
      <c r="A1259" s="1389"/>
      <c r="B1259" s="1385" t="s">
        <v>2097</v>
      </c>
      <c r="C1259" s="1381" t="s">
        <v>197</v>
      </c>
      <c r="D1259" s="1381">
        <v>1</v>
      </c>
      <c r="E1259" s="1381" t="s">
        <v>65</v>
      </c>
      <c r="F1259" s="1381">
        <v>11</v>
      </c>
      <c r="G1259" s="1381">
        <v>18</v>
      </c>
      <c r="H1259" s="1382">
        <v>56</v>
      </c>
      <c r="I1259" s="1385" t="s">
        <v>2104</v>
      </c>
      <c r="J1259" s="1385" t="s">
        <v>2105</v>
      </c>
      <c r="K1259" s="233">
        <v>24</v>
      </c>
      <c r="L1259" s="1386">
        <v>24524919</v>
      </c>
      <c r="M1259" s="1385">
        <v>6</v>
      </c>
      <c r="N1259" s="1386">
        <f>73595.44+8907188</f>
        <v>8980783.4399999995</v>
      </c>
      <c r="O1259" s="1385">
        <v>7</v>
      </c>
      <c r="P1259" s="1387">
        <v>11758961</v>
      </c>
      <c r="Q1259" s="1385"/>
      <c r="R1259" s="1387">
        <v>11659.25</v>
      </c>
      <c r="S1259" s="1385"/>
      <c r="T1259" s="1388"/>
      <c r="U1259" s="1385"/>
      <c r="V1259" s="1385"/>
      <c r="W1259" s="1385"/>
      <c r="X1259" s="1385"/>
      <c r="Y1259" s="1389">
        <f t="shared" si="330"/>
        <v>0</v>
      </c>
      <c r="Z1259" s="1387">
        <f t="shared" si="330"/>
        <v>11659.25</v>
      </c>
      <c r="AA1259" s="1385">
        <f t="shared" si="337"/>
        <v>6</v>
      </c>
      <c r="AB1259" s="1376">
        <f t="shared" si="337"/>
        <v>8992442.6899999995</v>
      </c>
      <c r="AC1259" s="1377">
        <f t="shared" si="332"/>
        <v>25</v>
      </c>
      <c r="AD1259" s="1378">
        <f t="shared" si="336"/>
        <v>0.36666554087293823</v>
      </c>
      <c r="AE1259" s="1379" t="s">
        <v>2058</v>
      </c>
    </row>
    <row r="1260" spans="1:31" s="1383" customFormat="1" ht="63.75">
      <c r="A1260" s="1389"/>
      <c r="B1260" s="1385" t="s">
        <v>2097</v>
      </c>
      <c r="C1260" s="1381" t="s">
        <v>197</v>
      </c>
      <c r="D1260" s="1381">
        <v>1</v>
      </c>
      <c r="E1260" s="1381" t="s">
        <v>65</v>
      </c>
      <c r="F1260" s="1381">
        <v>11</v>
      </c>
      <c r="G1260" s="1381">
        <v>18</v>
      </c>
      <c r="H1260" s="1382">
        <v>58</v>
      </c>
      <c r="I1260" s="1385" t="s">
        <v>2106</v>
      </c>
      <c r="J1260" s="1385" t="s">
        <v>2107</v>
      </c>
      <c r="K1260" s="233">
        <v>1</v>
      </c>
      <c r="L1260" s="1386">
        <v>147576</v>
      </c>
      <c r="M1260" s="1385">
        <v>1</v>
      </c>
      <c r="N1260" s="1386">
        <v>147576</v>
      </c>
      <c r="O1260" s="1385"/>
      <c r="P1260" s="1387"/>
      <c r="Q1260" s="1385">
        <v>0</v>
      </c>
      <c r="R1260" s="1387">
        <v>0</v>
      </c>
      <c r="S1260" s="1385"/>
      <c r="T1260" s="1385"/>
      <c r="U1260" s="1385"/>
      <c r="V1260" s="1385"/>
      <c r="W1260" s="1385"/>
      <c r="X1260" s="1385"/>
      <c r="Y1260" s="1389">
        <f t="shared" si="330"/>
        <v>0</v>
      </c>
      <c r="Z1260" s="1387">
        <f t="shared" si="330"/>
        <v>0</v>
      </c>
      <c r="AA1260" s="1385">
        <f t="shared" si="337"/>
        <v>1</v>
      </c>
      <c r="AB1260" s="1376">
        <f t="shared" si="337"/>
        <v>147576</v>
      </c>
      <c r="AC1260" s="1377">
        <f t="shared" si="332"/>
        <v>100</v>
      </c>
      <c r="AD1260" s="1378">
        <f t="shared" si="336"/>
        <v>1</v>
      </c>
      <c r="AE1260" s="1379" t="s">
        <v>2058</v>
      </c>
    </row>
    <row r="1261" spans="1:31" s="1383" customFormat="1" ht="63.75">
      <c r="A1261" s="1389"/>
      <c r="B1261" s="1385" t="s">
        <v>2097</v>
      </c>
      <c r="C1261" s="1381" t="s">
        <v>197</v>
      </c>
      <c r="D1261" s="1381">
        <v>1</v>
      </c>
      <c r="E1261" s="1381" t="s">
        <v>65</v>
      </c>
      <c r="F1261" s="1381">
        <v>11</v>
      </c>
      <c r="G1261" s="1381">
        <v>18</v>
      </c>
      <c r="H1261" s="1382">
        <v>60</v>
      </c>
      <c r="I1261" s="1385" t="s">
        <v>2108</v>
      </c>
      <c r="J1261" s="1385" t="s">
        <v>2109</v>
      </c>
      <c r="K1261" s="233">
        <v>48</v>
      </c>
      <c r="L1261" s="1386">
        <v>800000</v>
      </c>
      <c r="M1261" s="1385"/>
      <c r="N1261" s="1386">
        <f>0+0</f>
        <v>0</v>
      </c>
      <c r="O1261" s="1385">
        <v>12</v>
      </c>
      <c r="P1261" s="1387">
        <v>411093.39</v>
      </c>
      <c r="Q1261" s="1385"/>
      <c r="R1261" s="1387">
        <v>53473</v>
      </c>
      <c r="S1261" s="1385"/>
      <c r="T1261" s="1385"/>
      <c r="U1261" s="1385"/>
      <c r="V1261" s="1385"/>
      <c r="W1261" s="1385"/>
      <c r="X1261" s="1385"/>
      <c r="Y1261" s="1389">
        <f t="shared" si="330"/>
        <v>0</v>
      </c>
      <c r="Z1261" s="1387">
        <f t="shared" si="330"/>
        <v>53473</v>
      </c>
      <c r="AA1261" s="1385">
        <f t="shared" si="337"/>
        <v>0</v>
      </c>
      <c r="AB1261" s="1376">
        <f t="shared" si="337"/>
        <v>53473</v>
      </c>
      <c r="AC1261" s="1377">
        <f t="shared" si="332"/>
        <v>0</v>
      </c>
      <c r="AD1261" s="1378">
        <f t="shared" si="336"/>
        <v>6.6841250000000005E-2</v>
      </c>
      <c r="AE1261" s="1379" t="s">
        <v>2058</v>
      </c>
    </row>
    <row r="1262" spans="1:31" s="1383" customFormat="1" ht="51">
      <c r="A1262" s="1389"/>
      <c r="B1262" s="1390" t="s">
        <v>2092</v>
      </c>
      <c r="C1262" s="1381" t="s">
        <v>197</v>
      </c>
      <c r="D1262" s="1381">
        <v>1</v>
      </c>
      <c r="E1262" s="1381" t="s">
        <v>65</v>
      </c>
      <c r="F1262" s="1381">
        <v>11</v>
      </c>
      <c r="G1262" s="1381">
        <v>18</v>
      </c>
      <c r="H1262" s="1382">
        <v>63</v>
      </c>
      <c r="I1262" s="1385" t="s">
        <v>2110</v>
      </c>
      <c r="J1262" s="1385" t="s">
        <v>2111</v>
      </c>
      <c r="K1262" s="233">
        <v>4</v>
      </c>
      <c r="L1262" s="1386">
        <v>200000</v>
      </c>
      <c r="M1262" s="1385"/>
      <c r="N1262" s="1386">
        <f>0+0</f>
        <v>0</v>
      </c>
      <c r="O1262" s="1385">
        <v>1</v>
      </c>
      <c r="P1262" s="1387">
        <v>44555</v>
      </c>
      <c r="Q1262" s="1385"/>
      <c r="R1262" s="1387">
        <v>0</v>
      </c>
      <c r="S1262" s="1385"/>
      <c r="T1262" s="1385"/>
      <c r="U1262" s="1385"/>
      <c r="V1262" s="1385"/>
      <c r="W1262" s="1385"/>
      <c r="X1262" s="1385"/>
      <c r="Y1262" s="1389">
        <f t="shared" si="330"/>
        <v>0</v>
      </c>
      <c r="Z1262" s="1387">
        <f t="shared" si="330"/>
        <v>0</v>
      </c>
      <c r="AA1262" s="1385">
        <f t="shared" si="337"/>
        <v>0</v>
      </c>
      <c r="AB1262" s="1376">
        <f t="shared" si="337"/>
        <v>0</v>
      </c>
      <c r="AC1262" s="1377">
        <f t="shared" si="332"/>
        <v>0</v>
      </c>
      <c r="AD1262" s="1378">
        <f t="shared" si="336"/>
        <v>0</v>
      </c>
      <c r="AE1262" s="1379" t="s">
        <v>2058</v>
      </c>
    </row>
    <row r="1263" spans="1:31" s="1383" customFormat="1" ht="38.25">
      <c r="A1263" s="1389"/>
      <c r="B1263" s="1390" t="s">
        <v>2097</v>
      </c>
      <c r="C1263" s="1381" t="s">
        <v>197</v>
      </c>
      <c r="D1263" s="1381">
        <v>1</v>
      </c>
      <c r="E1263" s="1381" t="s">
        <v>65</v>
      </c>
      <c r="F1263" s="1381">
        <v>11</v>
      </c>
      <c r="G1263" s="1381">
        <v>18</v>
      </c>
      <c r="H1263" s="1382">
        <v>65</v>
      </c>
      <c r="I1263" s="233" t="s">
        <v>2112</v>
      </c>
      <c r="J1263" s="1385" t="s">
        <v>2113</v>
      </c>
      <c r="K1263" s="233">
        <v>15</v>
      </c>
      <c r="L1263" s="1386">
        <v>15000000</v>
      </c>
      <c r="M1263" s="1385"/>
      <c r="N1263" s="1386">
        <v>0</v>
      </c>
      <c r="O1263" s="1385">
        <v>3</v>
      </c>
      <c r="P1263" s="1387">
        <v>3897044</v>
      </c>
      <c r="Q1263" s="1385"/>
      <c r="R1263" s="1387">
        <v>0</v>
      </c>
      <c r="S1263" s="1385"/>
      <c r="T1263" s="1385"/>
      <c r="U1263" s="1385"/>
      <c r="V1263" s="1385"/>
      <c r="W1263" s="1385"/>
      <c r="X1263" s="1385"/>
      <c r="Y1263" s="1389">
        <f t="shared" si="330"/>
        <v>0</v>
      </c>
      <c r="Z1263" s="1387">
        <f t="shared" si="330"/>
        <v>0</v>
      </c>
      <c r="AA1263" s="1385">
        <f t="shared" si="337"/>
        <v>0</v>
      </c>
      <c r="AB1263" s="1376">
        <f t="shared" si="337"/>
        <v>0</v>
      </c>
      <c r="AC1263" s="1377">
        <f t="shared" si="332"/>
        <v>0</v>
      </c>
      <c r="AD1263" s="1378">
        <f t="shared" si="336"/>
        <v>0</v>
      </c>
      <c r="AE1263" s="1379" t="s">
        <v>2058</v>
      </c>
    </row>
    <row r="1264" spans="1:31" s="1383" customFormat="1" ht="38.25">
      <c r="A1264" s="1389"/>
      <c r="B1264" s="1390" t="s">
        <v>2097</v>
      </c>
      <c r="C1264" s="1381" t="s">
        <v>197</v>
      </c>
      <c r="D1264" s="1381">
        <v>1</v>
      </c>
      <c r="E1264" s="1381" t="s">
        <v>65</v>
      </c>
      <c r="F1264" s="1381">
        <v>11</v>
      </c>
      <c r="G1264" s="1381">
        <v>18</v>
      </c>
      <c r="H1264" s="1382"/>
      <c r="I1264" s="233" t="s">
        <v>2114</v>
      </c>
      <c r="J1264" s="1385" t="s">
        <v>2115</v>
      </c>
      <c r="K1264" s="233">
        <v>72</v>
      </c>
      <c r="L1264" s="1386">
        <v>1500000</v>
      </c>
      <c r="M1264" s="1385"/>
      <c r="N1264" s="1386">
        <v>0</v>
      </c>
      <c r="O1264" s="1385">
        <v>12</v>
      </c>
      <c r="P1264" s="1387">
        <v>3897044</v>
      </c>
      <c r="Q1264" s="1385">
        <v>3</v>
      </c>
      <c r="R1264" s="1387">
        <v>0</v>
      </c>
      <c r="S1264" s="1385"/>
      <c r="T1264" s="1385"/>
      <c r="U1264" s="1385"/>
      <c r="V1264" s="1385"/>
      <c r="W1264" s="1385"/>
      <c r="X1264" s="1385"/>
      <c r="Y1264" s="1389">
        <f t="shared" si="330"/>
        <v>3</v>
      </c>
      <c r="Z1264" s="1387">
        <f t="shared" si="330"/>
        <v>0</v>
      </c>
      <c r="AA1264" s="1385">
        <f t="shared" si="337"/>
        <v>3</v>
      </c>
      <c r="AB1264" s="1376">
        <f t="shared" si="337"/>
        <v>0</v>
      </c>
      <c r="AC1264" s="1377">
        <f t="shared" si="332"/>
        <v>4.1666666666666661</v>
      </c>
      <c r="AD1264" s="1378">
        <f t="shared" si="336"/>
        <v>0</v>
      </c>
      <c r="AE1264" s="1379" t="s">
        <v>2058</v>
      </c>
    </row>
    <row r="1265" spans="1:31">
      <c r="A1265" s="112"/>
      <c r="B1265" s="112"/>
      <c r="C1265" s="112"/>
      <c r="D1265" s="112"/>
      <c r="E1265" s="112"/>
      <c r="F1265" s="112"/>
      <c r="G1265" s="112"/>
      <c r="H1265" s="112"/>
      <c r="I1265" s="112"/>
      <c r="J1265" s="112"/>
      <c r="K1265" s="112"/>
      <c r="L1265" s="112"/>
      <c r="M1265" s="112"/>
      <c r="N1265" s="112"/>
      <c r="O1265" s="112"/>
      <c r="P1265" s="112"/>
      <c r="Q1265" s="112"/>
      <c r="R1265" s="112"/>
      <c r="S1265" s="112"/>
      <c r="T1265" s="112"/>
      <c r="U1265" s="112"/>
      <c r="V1265" s="112"/>
      <c r="W1265" s="112"/>
      <c r="X1265" s="112"/>
      <c r="Y1265" s="570"/>
      <c r="Z1265" s="112"/>
      <c r="AA1265" s="112"/>
      <c r="AB1265" s="112"/>
      <c r="AC1265" s="112"/>
      <c r="AD1265" s="112"/>
      <c r="AE1265" s="112"/>
    </row>
    <row r="1266" spans="1:31" s="69" customFormat="1" ht="27.75" customHeight="1">
      <c r="A1266" s="67">
        <v>29</v>
      </c>
      <c r="B1266" s="67"/>
      <c r="C1266" s="67"/>
      <c r="D1266" s="67"/>
      <c r="E1266" s="67"/>
      <c r="F1266" s="67"/>
      <c r="G1266" s="67"/>
      <c r="H1266" s="67"/>
      <c r="I1266" s="68" t="s">
        <v>216</v>
      </c>
      <c r="J1266" s="67"/>
      <c r="K1266" s="67"/>
      <c r="L1266" s="67"/>
      <c r="M1266" s="67"/>
      <c r="N1266" s="67"/>
      <c r="O1266" s="67"/>
      <c r="P1266" s="67"/>
      <c r="Q1266" s="67"/>
      <c r="R1266" s="67"/>
      <c r="S1266" s="67"/>
      <c r="T1266" s="67"/>
      <c r="U1266" s="67"/>
      <c r="V1266" s="67"/>
      <c r="W1266" s="67"/>
      <c r="X1266" s="67"/>
      <c r="Y1266" s="366"/>
      <c r="Z1266" s="67"/>
      <c r="AA1266" s="67"/>
      <c r="AB1266" s="67"/>
      <c r="AC1266" s="67"/>
      <c r="AD1266" s="67"/>
      <c r="AE1266" s="67"/>
    </row>
    <row r="1267" spans="1:31" s="2102" customFormat="1" ht="38.25">
      <c r="A1267" s="616">
        <v>7</v>
      </c>
      <c r="B1267" s="383" t="s">
        <v>2116</v>
      </c>
      <c r="C1267" s="623" t="s">
        <v>198</v>
      </c>
      <c r="D1267" s="623">
        <v>1</v>
      </c>
      <c r="E1267" s="623" t="s">
        <v>65</v>
      </c>
      <c r="F1267" s="623">
        <v>11</v>
      </c>
      <c r="G1267" s="623">
        <v>16</v>
      </c>
      <c r="H1267" s="627"/>
      <c r="I1267" s="383" t="s">
        <v>2117</v>
      </c>
      <c r="J1267" s="383" t="s">
        <v>2118</v>
      </c>
      <c r="K1267" s="344">
        <v>170</v>
      </c>
      <c r="L1267" s="628">
        <f>SUM(L1268:L1273)</f>
        <v>3938996</v>
      </c>
      <c r="M1267" s="383">
        <v>10</v>
      </c>
      <c r="N1267" s="2110">
        <f>SUM(N1269:N1273)</f>
        <v>1010235.2000000001</v>
      </c>
      <c r="O1267" s="383">
        <v>25</v>
      </c>
      <c r="P1267" s="628">
        <f>SUM(P1269:P1273)</f>
        <v>1300229.27</v>
      </c>
      <c r="Q1267" s="383"/>
      <c r="R1267" s="628">
        <f>SUM(R1269:R1273)</f>
        <v>26260.67</v>
      </c>
      <c r="S1267" s="383"/>
      <c r="T1267" s="628">
        <v>3938996</v>
      </c>
      <c r="U1267" s="383"/>
      <c r="V1267" s="383"/>
      <c r="W1267" s="383"/>
      <c r="X1267" s="383"/>
      <c r="Y1267" s="385">
        <f t="shared" ref="Y1267:Z1282" si="338">Q1267+S1267+U1267+W1267</f>
        <v>0</v>
      </c>
      <c r="Z1267" s="628">
        <f t="shared" si="338"/>
        <v>3965256.67</v>
      </c>
      <c r="AA1267" s="2097">
        <f t="shared" ref="AA1267:AB1282" si="339">M1267+Y1267</f>
        <v>10</v>
      </c>
      <c r="AB1267" s="2098">
        <f t="shared" si="339"/>
        <v>4975491.87</v>
      </c>
      <c r="AC1267" s="2099">
        <f t="shared" ref="AC1267:AC1282" si="340">AA1267/K1267*100</f>
        <v>5.8823529411764701</v>
      </c>
      <c r="AD1267" s="2100">
        <f t="shared" ref="AD1267:AD1278" si="341">AB1267/L1267*100%</f>
        <v>1.2631370709693537</v>
      </c>
      <c r="AE1267" s="2101" t="s">
        <v>2058</v>
      </c>
    </row>
    <row r="1268" spans="1:31" s="1383" customFormat="1" ht="63.75">
      <c r="A1268" s="1389"/>
      <c r="B1268" s="1390" t="s">
        <v>2119</v>
      </c>
      <c r="C1268" s="1381" t="s">
        <v>198</v>
      </c>
      <c r="D1268" s="1381">
        <v>1</v>
      </c>
      <c r="E1268" s="1381" t="s">
        <v>65</v>
      </c>
      <c r="F1268" s="1381">
        <v>11</v>
      </c>
      <c r="G1268" s="1381">
        <v>16</v>
      </c>
      <c r="H1268" s="1382" t="s">
        <v>201</v>
      </c>
      <c r="I1268" s="1385" t="s">
        <v>2120</v>
      </c>
      <c r="J1268" s="1385" t="s">
        <v>2121</v>
      </c>
      <c r="K1268" s="233">
        <v>60</v>
      </c>
      <c r="L1268" s="1386">
        <v>120000</v>
      </c>
      <c r="M1268" s="1385">
        <v>30</v>
      </c>
      <c r="N1268" s="1386">
        <v>66425.899999999994</v>
      </c>
      <c r="O1268" s="1385"/>
      <c r="P1268" s="1387"/>
      <c r="Q1268" s="1385"/>
      <c r="R1268" s="1387"/>
      <c r="S1268" s="1385"/>
      <c r="T1268" s="1388">
        <f>L1267-T1267</f>
        <v>0</v>
      </c>
      <c r="U1268" s="1385"/>
      <c r="V1268" s="1385"/>
      <c r="W1268" s="1385"/>
      <c r="X1268" s="1385"/>
      <c r="Y1268" s="1389">
        <f t="shared" si="338"/>
        <v>0</v>
      </c>
      <c r="Z1268" s="1387">
        <f t="shared" si="338"/>
        <v>0</v>
      </c>
      <c r="AA1268" s="1385">
        <f t="shared" si="339"/>
        <v>30</v>
      </c>
      <c r="AB1268" s="1376">
        <f t="shared" si="339"/>
        <v>66425.899999999994</v>
      </c>
      <c r="AC1268" s="1377">
        <f t="shared" si="340"/>
        <v>50</v>
      </c>
      <c r="AD1268" s="1378">
        <f t="shared" si="341"/>
        <v>0.55354916666666665</v>
      </c>
      <c r="AE1268" s="1379" t="s">
        <v>2058</v>
      </c>
    </row>
    <row r="1269" spans="1:31" s="1383" customFormat="1" ht="38.25">
      <c r="A1269" s="1389"/>
      <c r="B1269" s="1385" t="s">
        <v>2122</v>
      </c>
      <c r="C1269" s="1381" t="s">
        <v>198</v>
      </c>
      <c r="D1269" s="1381">
        <v>1</v>
      </c>
      <c r="E1269" s="1381" t="s">
        <v>65</v>
      </c>
      <c r="F1269" s="1381">
        <v>11</v>
      </c>
      <c r="G1269" s="1381">
        <v>16</v>
      </c>
      <c r="H1269" s="1382">
        <v>10</v>
      </c>
      <c r="I1269" s="1385" t="s">
        <v>2123</v>
      </c>
      <c r="J1269" s="1385" t="s">
        <v>2124</v>
      </c>
      <c r="K1269" s="233">
        <v>6</v>
      </c>
      <c r="L1269" s="1386">
        <v>366210</v>
      </c>
      <c r="M1269" s="1385">
        <v>2</v>
      </c>
      <c r="N1269" s="1386">
        <f>55251.12+41733.8</f>
        <v>96984.920000000013</v>
      </c>
      <c r="O1269" s="1385">
        <v>1</v>
      </c>
      <c r="P1269" s="1387">
        <v>74602.91</v>
      </c>
      <c r="Q1269" s="1385"/>
      <c r="R1269" s="1387">
        <v>7195</v>
      </c>
      <c r="S1269" s="1385"/>
      <c r="T1269" s="1385"/>
      <c r="U1269" s="1385"/>
      <c r="V1269" s="1385"/>
      <c r="W1269" s="1385"/>
      <c r="X1269" s="1385"/>
      <c r="Y1269" s="1389">
        <f t="shared" si="338"/>
        <v>0</v>
      </c>
      <c r="Z1269" s="1387">
        <f t="shared" si="338"/>
        <v>7195</v>
      </c>
      <c r="AA1269" s="1385">
        <f t="shared" si="339"/>
        <v>2</v>
      </c>
      <c r="AB1269" s="1376">
        <f t="shared" si="339"/>
        <v>104179.92000000001</v>
      </c>
      <c r="AC1269" s="1377">
        <f t="shared" si="340"/>
        <v>33.333333333333329</v>
      </c>
      <c r="AD1269" s="1378">
        <f t="shared" si="341"/>
        <v>0.28448136315228972</v>
      </c>
      <c r="AE1269" s="1379" t="s">
        <v>2058</v>
      </c>
    </row>
    <row r="1270" spans="1:31" s="1383" customFormat="1" ht="63.75">
      <c r="A1270" s="1389"/>
      <c r="B1270" s="1385" t="s">
        <v>2125</v>
      </c>
      <c r="C1270" s="1381" t="s">
        <v>198</v>
      </c>
      <c r="D1270" s="1381">
        <v>1</v>
      </c>
      <c r="E1270" s="1381" t="s">
        <v>65</v>
      </c>
      <c r="F1270" s="1381">
        <v>11</v>
      </c>
      <c r="G1270" s="1381">
        <v>16</v>
      </c>
      <c r="H1270" s="1382">
        <v>15</v>
      </c>
      <c r="I1270" s="1385" t="s">
        <v>2126</v>
      </c>
      <c r="J1270" s="1385" t="s">
        <v>2127</v>
      </c>
      <c r="K1270" s="233">
        <v>36</v>
      </c>
      <c r="L1270" s="1386">
        <v>2143803</v>
      </c>
      <c r="M1270" s="1385">
        <v>12</v>
      </c>
      <c r="N1270" s="1386">
        <f>455665.53+360335.2</f>
        <v>816000.73</v>
      </c>
      <c r="O1270" s="1396">
        <v>6</v>
      </c>
      <c r="P1270" s="1387">
        <v>963378.36</v>
      </c>
      <c r="Q1270" s="1385"/>
      <c r="R1270" s="1387">
        <v>10489.67</v>
      </c>
      <c r="S1270" s="1385"/>
      <c r="T1270" s="1385"/>
      <c r="U1270" s="1385"/>
      <c r="V1270" s="1385"/>
      <c r="W1270" s="1385"/>
      <c r="X1270" s="1385"/>
      <c r="Y1270" s="1389">
        <f t="shared" si="338"/>
        <v>0</v>
      </c>
      <c r="Z1270" s="1387">
        <f t="shared" si="338"/>
        <v>10489.67</v>
      </c>
      <c r="AA1270" s="1385">
        <f t="shared" si="339"/>
        <v>12</v>
      </c>
      <c r="AB1270" s="1376">
        <f t="shared" si="339"/>
        <v>826490.4</v>
      </c>
      <c r="AC1270" s="1377">
        <f t="shared" si="340"/>
        <v>33.333333333333329</v>
      </c>
      <c r="AD1270" s="1378">
        <f t="shared" si="341"/>
        <v>0.38552534911090247</v>
      </c>
      <c r="AE1270" s="1379" t="s">
        <v>2058</v>
      </c>
    </row>
    <row r="1271" spans="1:31" s="1383" customFormat="1" ht="51">
      <c r="A1271" s="1389"/>
      <c r="B1271" s="1385" t="s">
        <v>2128</v>
      </c>
      <c r="C1271" s="1381" t="s">
        <v>198</v>
      </c>
      <c r="D1271" s="1381">
        <v>1</v>
      </c>
      <c r="E1271" s="1381" t="s">
        <v>65</v>
      </c>
      <c r="F1271" s="1381">
        <v>11</v>
      </c>
      <c r="G1271" s="1381">
        <v>16</v>
      </c>
      <c r="H1271" s="1382">
        <v>20</v>
      </c>
      <c r="I1271" s="1385" t="s">
        <v>2129</v>
      </c>
      <c r="J1271" s="1385" t="s">
        <v>2130</v>
      </c>
      <c r="K1271" s="233">
        <v>3</v>
      </c>
      <c r="L1271" s="1386">
        <v>133983</v>
      </c>
      <c r="M1271" s="1385">
        <v>1</v>
      </c>
      <c r="N1271" s="1386">
        <f>0+97249.55</f>
        <v>97249.55</v>
      </c>
      <c r="O1271" s="1396">
        <v>1</v>
      </c>
      <c r="P1271" s="1387">
        <v>54846.49</v>
      </c>
      <c r="Q1271" s="1385"/>
      <c r="R1271" s="1387">
        <v>1352</v>
      </c>
      <c r="S1271" s="1385"/>
      <c r="T1271" s="1388">
        <f>L1271-T1268</f>
        <v>133983</v>
      </c>
      <c r="U1271" s="1385"/>
      <c r="V1271" s="1385"/>
      <c r="W1271" s="1385"/>
      <c r="X1271" s="1385"/>
      <c r="Y1271" s="1389">
        <f t="shared" si="338"/>
        <v>0</v>
      </c>
      <c r="Z1271" s="1387">
        <f t="shared" si="338"/>
        <v>135335</v>
      </c>
      <c r="AA1271" s="1385">
        <f t="shared" si="339"/>
        <v>1</v>
      </c>
      <c r="AB1271" s="1376">
        <f t="shared" si="339"/>
        <v>232584.55</v>
      </c>
      <c r="AC1271" s="1377">
        <f t="shared" si="340"/>
        <v>33.333333333333329</v>
      </c>
      <c r="AD1271" s="1378">
        <f t="shared" si="341"/>
        <v>1.7359258264108133</v>
      </c>
      <c r="AE1271" s="1379" t="s">
        <v>2058</v>
      </c>
    </row>
    <row r="1272" spans="1:31" s="1383" customFormat="1" ht="38.25">
      <c r="A1272" s="1389" t="s">
        <v>228</v>
      </c>
      <c r="B1272" s="1385" t="s">
        <v>2131</v>
      </c>
      <c r="C1272" s="1381" t="s">
        <v>198</v>
      </c>
      <c r="D1272" s="1381">
        <v>1</v>
      </c>
      <c r="E1272" s="1381" t="s">
        <v>65</v>
      </c>
      <c r="F1272" s="1381">
        <v>11</v>
      </c>
      <c r="G1272" s="1381">
        <v>16</v>
      </c>
      <c r="H1272" s="1382">
        <v>22</v>
      </c>
      <c r="I1272" s="233" t="s">
        <v>2132</v>
      </c>
      <c r="J1272" s="1385" t="s">
        <v>2133</v>
      </c>
      <c r="K1272" s="233">
        <v>125</v>
      </c>
      <c r="L1272" s="1386">
        <v>575000</v>
      </c>
      <c r="M1272" s="1385"/>
      <c r="N1272" s="1386">
        <f>0+0</f>
        <v>0</v>
      </c>
      <c r="O1272" s="1396">
        <v>25</v>
      </c>
      <c r="P1272" s="1387">
        <v>98247.41</v>
      </c>
      <c r="Q1272" s="1385"/>
      <c r="R1272" s="1387">
        <v>0</v>
      </c>
      <c r="S1272" s="1385"/>
      <c r="T1272" s="1385"/>
      <c r="U1272" s="1385"/>
      <c r="V1272" s="1385"/>
      <c r="W1272" s="1385"/>
      <c r="X1272" s="1385"/>
      <c r="Y1272" s="1389">
        <f t="shared" si="338"/>
        <v>0</v>
      </c>
      <c r="Z1272" s="1387">
        <f t="shared" si="338"/>
        <v>0</v>
      </c>
      <c r="AA1272" s="1385">
        <f t="shared" si="339"/>
        <v>0</v>
      </c>
      <c r="AB1272" s="1376">
        <f t="shared" si="339"/>
        <v>0</v>
      </c>
      <c r="AC1272" s="1377">
        <f t="shared" si="340"/>
        <v>0</v>
      </c>
      <c r="AD1272" s="1378">
        <f t="shared" si="341"/>
        <v>0</v>
      </c>
      <c r="AE1272" s="1379" t="s">
        <v>2058</v>
      </c>
    </row>
    <row r="1273" spans="1:31" s="1383" customFormat="1" ht="63.75">
      <c r="A1273" s="1389" t="s">
        <v>228</v>
      </c>
      <c r="B1273" s="1385" t="s">
        <v>2125</v>
      </c>
      <c r="C1273" s="1381" t="s">
        <v>198</v>
      </c>
      <c r="D1273" s="1381">
        <v>1</v>
      </c>
      <c r="E1273" s="1381" t="s">
        <v>65</v>
      </c>
      <c r="F1273" s="1381">
        <v>11</v>
      </c>
      <c r="G1273" s="1381">
        <v>16</v>
      </c>
      <c r="H1273" s="1382">
        <v>24</v>
      </c>
      <c r="I1273" s="1385" t="s">
        <v>2134</v>
      </c>
      <c r="J1273" s="1385" t="s">
        <v>2135</v>
      </c>
      <c r="K1273" s="233">
        <v>250</v>
      </c>
      <c r="L1273" s="1386">
        <v>600000</v>
      </c>
      <c r="M1273" s="1385"/>
      <c r="N1273" s="1386">
        <f>0+0</f>
        <v>0</v>
      </c>
      <c r="O1273" s="1396">
        <v>40</v>
      </c>
      <c r="P1273" s="1387">
        <v>109154.1</v>
      </c>
      <c r="Q1273" s="1385"/>
      <c r="R1273" s="1387">
        <v>7224</v>
      </c>
      <c r="S1273" s="1385"/>
      <c r="T1273" s="1385"/>
      <c r="U1273" s="1385"/>
      <c r="V1273" s="1385"/>
      <c r="W1273" s="1385"/>
      <c r="X1273" s="1385"/>
      <c r="Y1273" s="1389">
        <f t="shared" si="338"/>
        <v>0</v>
      </c>
      <c r="Z1273" s="1387">
        <f t="shared" si="338"/>
        <v>7224</v>
      </c>
      <c r="AA1273" s="1385">
        <f t="shared" si="339"/>
        <v>0</v>
      </c>
      <c r="AB1273" s="1376">
        <f t="shared" si="339"/>
        <v>7224</v>
      </c>
      <c r="AC1273" s="1377">
        <f t="shared" si="340"/>
        <v>0</v>
      </c>
      <c r="AD1273" s="1378">
        <f t="shared" si="341"/>
        <v>1.204E-2</v>
      </c>
      <c r="AE1273" s="1379" t="s">
        <v>2058</v>
      </c>
    </row>
    <row r="1274" spans="1:31" s="2102" customFormat="1" ht="63.75">
      <c r="A1274" s="495">
        <v>8</v>
      </c>
      <c r="B1274" s="383" t="s">
        <v>2116</v>
      </c>
      <c r="C1274" s="623" t="s">
        <v>198</v>
      </c>
      <c r="D1274" s="623">
        <v>1</v>
      </c>
      <c r="E1274" s="623" t="s">
        <v>65</v>
      </c>
      <c r="F1274" s="623">
        <v>11</v>
      </c>
      <c r="G1274" s="623">
        <v>17</v>
      </c>
      <c r="H1274" s="627"/>
      <c r="I1274" s="383" t="s">
        <v>2136</v>
      </c>
      <c r="J1274" s="383" t="s">
        <v>2137</v>
      </c>
      <c r="K1274" s="344">
        <v>95</v>
      </c>
      <c r="L1274" s="2110">
        <f>SUM(L1275:L1276)</f>
        <v>3340073</v>
      </c>
      <c r="M1274" s="741">
        <v>10</v>
      </c>
      <c r="N1274" s="2110">
        <f>SUM(N1275)</f>
        <v>115916.75</v>
      </c>
      <c r="O1274" s="2118">
        <v>0</v>
      </c>
      <c r="P1274" s="2110">
        <f>SUM(P1275)</f>
        <v>0</v>
      </c>
      <c r="Q1274" s="383"/>
      <c r="R1274" s="2110">
        <f>SUM(R1275)</f>
        <v>0</v>
      </c>
      <c r="S1274" s="383"/>
      <c r="T1274" s="2110"/>
      <c r="U1274" s="383"/>
      <c r="V1274" s="383"/>
      <c r="W1274" s="383"/>
      <c r="X1274" s="383"/>
      <c r="Y1274" s="385">
        <f t="shared" si="338"/>
        <v>0</v>
      </c>
      <c r="Z1274" s="628">
        <f t="shared" si="338"/>
        <v>0</v>
      </c>
      <c r="AA1274" s="2097">
        <f t="shared" si="339"/>
        <v>10</v>
      </c>
      <c r="AB1274" s="2098">
        <f t="shared" si="339"/>
        <v>115916.75</v>
      </c>
      <c r="AC1274" s="2099">
        <f t="shared" si="340"/>
        <v>10.526315789473683</v>
      </c>
      <c r="AD1274" s="2100">
        <f t="shared" si="341"/>
        <v>3.4704855253163629E-2</v>
      </c>
      <c r="AE1274" s="2101" t="s">
        <v>2058</v>
      </c>
    </row>
    <row r="1275" spans="1:31" s="1383" customFormat="1" ht="25.5">
      <c r="A1275" s="1389" t="s">
        <v>228</v>
      </c>
      <c r="B1275" s="1385" t="s">
        <v>2131</v>
      </c>
      <c r="C1275" s="1381" t="s">
        <v>198</v>
      </c>
      <c r="D1275" s="1381">
        <v>1</v>
      </c>
      <c r="E1275" s="1381" t="s">
        <v>65</v>
      </c>
      <c r="F1275" s="1381">
        <v>11</v>
      </c>
      <c r="G1275" s="1381">
        <v>17</v>
      </c>
      <c r="H1275" s="1382">
        <v>15</v>
      </c>
      <c r="I1275" s="1385" t="s">
        <v>2138</v>
      </c>
      <c r="J1275" s="1385" t="s">
        <v>2139</v>
      </c>
      <c r="K1275" s="233">
        <v>750</v>
      </c>
      <c r="L1275" s="1386">
        <v>2340073</v>
      </c>
      <c r="M1275" s="1385">
        <v>40</v>
      </c>
      <c r="N1275" s="1386">
        <f>54199.05+61717.7</f>
        <v>115916.75</v>
      </c>
      <c r="O1275" s="1396"/>
      <c r="P1275" s="1387"/>
      <c r="Q1275" s="1385"/>
      <c r="R1275" s="1387"/>
      <c r="S1275" s="1385"/>
      <c r="T1275" s="1388"/>
      <c r="U1275" s="1385"/>
      <c r="V1275" s="1385"/>
      <c r="W1275" s="1385"/>
      <c r="X1275" s="1385"/>
      <c r="Y1275" s="1389">
        <f t="shared" si="338"/>
        <v>0</v>
      </c>
      <c r="Z1275" s="1387">
        <f t="shared" si="338"/>
        <v>0</v>
      </c>
      <c r="AA1275" s="1385">
        <f t="shared" si="339"/>
        <v>40</v>
      </c>
      <c r="AB1275" s="1376">
        <f t="shared" si="339"/>
        <v>115916.75</v>
      </c>
      <c r="AC1275" s="1377">
        <f t="shared" si="340"/>
        <v>5.3333333333333339</v>
      </c>
      <c r="AD1275" s="1378">
        <f t="shared" si="341"/>
        <v>4.9535527310472796E-2</v>
      </c>
      <c r="AE1275" s="1379" t="s">
        <v>2058</v>
      </c>
    </row>
    <row r="1276" spans="1:31" s="1383" customFormat="1" ht="25.5">
      <c r="A1276" s="1389" t="s">
        <v>228</v>
      </c>
      <c r="B1276" s="1385" t="s">
        <v>2131</v>
      </c>
      <c r="C1276" s="1381" t="s">
        <v>198</v>
      </c>
      <c r="D1276" s="1381">
        <v>1</v>
      </c>
      <c r="E1276" s="1381" t="s">
        <v>65</v>
      </c>
      <c r="F1276" s="1381">
        <v>11</v>
      </c>
      <c r="G1276" s="1381">
        <v>17</v>
      </c>
      <c r="H1276" s="1382">
        <v>18</v>
      </c>
      <c r="I1276" s="1385" t="s">
        <v>2140</v>
      </c>
      <c r="J1276" s="1385" t="s">
        <v>2139</v>
      </c>
      <c r="K1276" s="233">
        <v>130</v>
      </c>
      <c r="L1276" s="1386">
        <v>1000000</v>
      </c>
      <c r="M1276" s="1385">
        <v>10</v>
      </c>
      <c r="N1276" s="1386">
        <v>64602.25</v>
      </c>
      <c r="O1276" s="1396"/>
      <c r="P1276" s="1387"/>
      <c r="Q1276" s="1385"/>
      <c r="R1276" s="1387"/>
      <c r="S1276" s="1385"/>
      <c r="T1276" s="1385"/>
      <c r="U1276" s="1385"/>
      <c r="V1276" s="1385"/>
      <c r="W1276" s="1385"/>
      <c r="X1276" s="1385"/>
      <c r="Y1276" s="1389">
        <f t="shared" si="338"/>
        <v>0</v>
      </c>
      <c r="Z1276" s="1387">
        <f t="shared" si="338"/>
        <v>0</v>
      </c>
      <c r="AA1276" s="1385">
        <f t="shared" si="339"/>
        <v>10</v>
      </c>
      <c r="AB1276" s="1376">
        <f t="shared" si="339"/>
        <v>64602.25</v>
      </c>
      <c r="AC1276" s="1377">
        <f t="shared" si="340"/>
        <v>7.6923076923076925</v>
      </c>
      <c r="AD1276" s="1378">
        <f t="shared" si="341"/>
        <v>6.460225E-2</v>
      </c>
      <c r="AE1276" s="1379" t="s">
        <v>2058</v>
      </c>
    </row>
    <row r="1277" spans="1:31" s="1384" customFormat="1" ht="51">
      <c r="A1277" s="1375">
        <v>9</v>
      </c>
      <c r="B1277" s="1398" t="s">
        <v>2141</v>
      </c>
      <c r="C1277" s="1373" t="s">
        <v>198</v>
      </c>
      <c r="D1277" s="1373">
        <v>1</v>
      </c>
      <c r="E1277" s="1373" t="s">
        <v>65</v>
      </c>
      <c r="F1277" s="1373">
        <v>11</v>
      </c>
      <c r="G1277" s="1373">
        <v>19</v>
      </c>
      <c r="H1277" s="1391"/>
      <c r="I1277" s="1374" t="s">
        <v>2142</v>
      </c>
      <c r="J1277" s="1374" t="s">
        <v>2143</v>
      </c>
      <c r="K1277" s="286">
        <v>6</v>
      </c>
      <c r="L1277" s="1393">
        <f>SUM(L1278:L1280)</f>
        <v>4563754</v>
      </c>
      <c r="M1277" s="1374">
        <v>1</v>
      </c>
      <c r="N1277" s="1392">
        <f>SUM(N1278:N1280)</f>
        <v>85873.5</v>
      </c>
      <c r="O1277" s="1397">
        <v>3</v>
      </c>
      <c r="P1277" s="1393">
        <f>SUM(P1278:P1280)</f>
        <v>1204543</v>
      </c>
      <c r="Q1277" s="1374"/>
      <c r="R1277" s="1393">
        <f>SUM(R1278:R1280)</f>
        <v>8772.84</v>
      </c>
      <c r="S1277" s="1374"/>
      <c r="T1277" s="1393"/>
      <c r="U1277" s="1374"/>
      <c r="V1277" s="1374"/>
      <c r="W1277" s="1374"/>
      <c r="X1277" s="1374"/>
      <c r="Y1277" s="1389">
        <f t="shared" si="338"/>
        <v>0</v>
      </c>
      <c r="Z1277" s="1393">
        <f t="shared" si="338"/>
        <v>8772.84</v>
      </c>
      <c r="AA1277" s="1385">
        <f t="shared" si="339"/>
        <v>1</v>
      </c>
      <c r="AB1277" s="1376">
        <f t="shared" si="339"/>
        <v>94646.34</v>
      </c>
      <c r="AC1277" s="1377">
        <f t="shared" si="340"/>
        <v>16.666666666666664</v>
      </c>
      <c r="AD1277" s="1378">
        <f t="shared" si="341"/>
        <v>2.073870326928226E-2</v>
      </c>
      <c r="AE1277" s="1379" t="s">
        <v>2058</v>
      </c>
    </row>
    <row r="1278" spans="1:31" s="1383" customFormat="1" ht="63.75">
      <c r="A1278" s="1389" t="s">
        <v>228</v>
      </c>
      <c r="B1278" s="1385" t="s">
        <v>2125</v>
      </c>
      <c r="C1278" s="1381" t="s">
        <v>198</v>
      </c>
      <c r="D1278" s="1381">
        <v>1</v>
      </c>
      <c r="E1278" s="1381" t="s">
        <v>65</v>
      </c>
      <c r="F1278" s="1381">
        <v>11</v>
      </c>
      <c r="G1278" s="1381">
        <v>19</v>
      </c>
      <c r="H1278" s="1382">
        <v>5</v>
      </c>
      <c r="I1278" s="233" t="s">
        <v>2144</v>
      </c>
      <c r="J1278" s="233" t="s">
        <v>2145</v>
      </c>
      <c r="K1278" s="233">
        <v>240</v>
      </c>
      <c r="L1278" s="1386">
        <v>1146383</v>
      </c>
      <c r="M1278" s="1385">
        <v>25</v>
      </c>
      <c r="N1278" s="1386">
        <f>0+85873.5</f>
        <v>85873.5</v>
      </c>
      <c r="O1278" s="1396">
        <v>40</v>
      </c>
      <c r="P1278" s="1387">
        <v>104513.08</v>
      </c>
      <c r="Q1278" s="1385"/>
      <c r="R1278" s="1387">
        <v>2952</v>
      </c>
      <c r="S1278" s="1385"/>
      <c r="T1278" s="1393"/>
      <c r="U1278" s="1385"/>
      <c r="V1278" s="1385"/>
      <c r="W1278" s="1385"/>
      <c r="X1278" s="1385"/>
      <c r="Y1278" s="1389">
        <f t="shared" si="338"/>
        <v>0</v>
      </c>
      <c r="Z1278" s="1387">
        <f t="shared" si="338"/>
        <v>2952</v>
      </c>
      <c r="AA1278" s="1385">
        <f t="shared" si="339"/>
        <v>25</v>
      </c>
      <c r="AB1278" s="1376">
        <f t="shared" si="339"/>
        <v>88825.5</v>
      </c>
      <c r="AC1278" s="1377">
        <f t="shared" si="340"/>
        <v>10.416666666666668</v>
      </c>
      <c r="AD1278" s="1378">
        <f t="shared" si="341"/>
        <v>7.7483266936093781E-2</v>
      </c>
      <c r="AE1278" s="1379" t="s">
        <v>2058</v>
      </c>
    </row>
    <row r="1279" spans="1:31" s="1383" customFormat="1" ht="51">
      <c r="A1279" s="1389" t="s">
        <v>228</v>
      </c>
      <c r="B1279" s="1385" t="s">
        <v>2128</v>
      </c>
      <c r="C1279" s="1381" t="s">
        <v>198</v>
      </c>
      <c r="D1279" s="1381">
        <v>1</v>
      </c>
      <c r="E1279" s="1381" t="s">
        <v>65</v>
      </c>
      <c r="F1279" s="1381">
        <v>11</v>
      </c>
      <c r="G1279" s="1381">
        <v>19</v>
      </c>
      <c r="H1279" s="1382" t="s">
        <v>198</v>
      </c>
      <c r="I1279" s="233" t="s">
        <v>2146</v>
      </c>
      <c r="J1279" s="233" t="s">
        <v>2147</v>
      </c>
      <c r="K1279" s="233">
        <v>3</v>
      </c>
      <c r="L1279" s="1386">
        <v>3106701</v>
      </c>
      <c r="M1279" s="1385"/>
      <c r="N1279" s="1386">
        <f>0+0</f>
        <v>0</v>
      </c>
      <c r="O1279" s="1396">
        <v>1</v>
      </c>
      <c r="P1279" s="1387">
        <v>1000000</v>
      </c>
      <c r="Q1279" s="1385"/>
      <c r="R1279" s="1387">
        <v>0</v>
      </c>
      <c r="S1279" s="1385"/>
      <c r="T1279" s="1385"/>
      <c r="U1279" s="1385"/>
      <c r="V1279" s="1385"/>
      <c r="W1279" s="1385"/>
      <c r="X1279" s="1385"/>
      <c r="Y1279" s="1389">
        <f t="shared" si="338"/>
        <v>0</v>
      </c>
      <c r="Z1279" s="1387">
        <f t="shared" si="338"/>
        <v>0</v>
      </c>
      <c r="AA1279" s="1385">
        <f t="shared" si="339"/>
        <v>0</v>
      </c>
      <c r="AB1279" s="1376">
        <f t="shared" si="339"/>
        <v>0</v>
      </c>
      <c r="AC1279" s="1377">
        <f t="shared" si="340"/>
        <v>0</v>
      </c>
      <c r="AD1279" s="1378">
        <v>0</v>
      </c>
      <c r="AE1279" s="1379" t="s">
        <v>2058</v>
      </c>
    </row>
    <row r="1280" spans="1:31" s="1383" customFormat="1" ht="51">
      <c r="A1280" s="1389" t="s">
        <v>228</v>
      </c>
      <c r="B1280" s="1385" t="s">
        <v>2128</v>
      </c>
      <c r="C1280" s="1381" t="s">
        <v>198</v>
      </c>
      <c r="D1280" s="1381">
        <v>1</v>
      </c>
      <c r="E1280" s="1381" t="s">
        <v>65</v>
      </c>
      <c r="F1280" s="1381">
        <v>11</v>
      </c>
      <c r="G1280" s="1381">
        <v>19</v>
      </c>
      <c r="H1280" s="1382" t="s">
        <v>93</v>
      </c>
      <c r="I1280" s="233" t="s">
        <v>2148</v>
      </c>
      <c r="J1280" s="233" t="s">
        <v>2149</v>
      </c>
      <c r="K1280" s="233">
        <v>24</v>
      </c>
      <c r="L1280" s="1386">
        <v>310670</v>
      </c>
      <c r="M1280" s="1385"/>
      <c r="N1280" s="1386">
        <f>0+0</f>
        <v>0</v>
      </c>
      <c r="O1280" s="1396">
        <v>12</v>
      </c>
      <c r="P1280" s="1387">
        <v>100029.92</v>
      </c>
      <c r="Q1280" s="1385">
        <v>3</v>
      </c>
      <c r="R1280" s="1387">
        <v>5820.84</v>
      </c>
      <c r="S1280" s="1385"/>
      <c r="T1280" s="1385"/>
      <c r="U1280" s="1385"/>
      <c r="V1280" s="1385"/>
      <c r="W1280" s="1385"/>
      <c r="X1280" s="1385"/>
      <c r="Y1280" s="1389">
        <f t="shared" si="338"/>
        <v>3</v>
      </c>
      <c r="Z1280" s="1387">
        <f t="shared" si="338"/>
        <v>5820.84</v>
      </c>
      <c r="AA1280" s="1385">
        <f t="shared" si="339"/>
        <v>3</v>
      </c>
      <c r="AB1280" s="1376">
        <f t="shared" si="339"/>
        <v>5820.84</v>
      </c>
      <c r="AC1280" s="1377">
        <f t="shared" si="340"/>
        <v>12.5</v>
      </c>
      <c r="AD1280" s="1378">
        <v>0</v>
      </c>
      <c r="AE1280" s="1379" t="s">
        <v>2058</v>
      </c>
    </row>
    <row r="1281" spans="1:32" s="2102" customFormat="1" ht="38.25">
      <c r="A1281" s="2089">
        <v>10</v>
      </c>
      <c r="B1281" s="2090" t="s">
        <v>2116</v>
      </c>
      <c r="C1281" s="2091" t="s">
        <v>198</v>
      </c>
      <c r="D1281" s="2091">
        <v>1</v>
      </c>
      <c r="E1281" s="2091" t="s">
        <v>65</v>
      </c>
      <c r="F1281" s="2091">
        <v>11</v>
      </c>
      <c r="G1281" s="2091">
        <v>20</v>
      </c>
      <c r="H1281" s="2092"/>
      <c r="I1281" s="2090" t="s">
        <v>2150</v>
      </c>
      <c r="J1281" s="2097" t="s">
        <v>2151</v>
      </c>
      <c r="K1281" s="2093">
        <v>50</v>
      </c>
      <c r="L1281" s="2094">
        <f>SUM(L1282)</f>
        <v>57725</v>
      </c>
      <c r="M1281" s="2090"/>
      <c r="N1281" s="2095">
        <f>SUM(N1282)</f>
        <v>0</v>
      </c>
      <c r="O1281" s="2103">
        <v>50</v>
      </c>
      <c r="P1281" s="2094">
        <f>SUM(P1282)</f>
        <v>57725.03</v>
      </c>
      <c r="Q1281" s="2090"/>
      <c r="R1281" s="2094">
        <f>SUM(R1282)</f>
        <v>0</v>
      </c>
      <c r="S1281" s="2090"/>
      <c r="T1281" s="2090"/>
      <c r="U1281" s="2090"/>
      <c r="V1281" s="2090"/>
      <c r="W1281" s="2090"/>
      <c r="X1281" s="2090"/>
      <c r="Y1281" s="2096">
        <f t="shared" si="338"/>
        <v>0</v>
      </c>
      <c r="Z1281" s="2094">
        <f t="shared" si="338"/>
        <v>0</v>
      </c>
      <c r="AA1281" s="2097">
        <f t="shared" si="339"/>
        <v>0</v>
      </c>
      <c r="AB1281" s="2098">
        <f t="shared" si="339"/>
        <v>0</v>
      </c>
      <c r="AC1281" s="2099">
        <f t="shared" si="340"/>
        <v>0</v>
      </c>
      <c r="AD1281" s="2100">
        <v>0</v>
      </c>
      <c r="AE1281" s="2101" t="s">
        <v>2058</v>
      </c>
    </row>
    <row r="1282" spans="1:32" s="1383" customFormat="1" ht="25.5">
      <c r="A1282" s="1389" t="s">
        <v>228</v>
      </c>
      <c r="B1282" s="1385" t="s">
        <v>2131</v>
      </c>
      <c r="C1282" s="1381" t="s">
        <v>198</v>
      </c>
      <c r="D1282" s="1381">
        <v>1</v>
      </c>
      <c r="E1282" s="1381" t="s">
        <v>65</v>
      </c>
      <c r="F1282" s="1381">
        <v>11</v>
      </c>
      <c r="G1282" s="1381">
        <v>20</v>
      </c>
      <c r="H1282" s="1382" t="s">
        <v>65</v>
      </c>
      <c r="I1282" s="233" t="s">
        <v>2152</v>
      </c>
      <c r="J1282" s="1385" t="s">
        <v>2151</v>
      </c>
      <c r="K1282" s="233">
        <v>50</v>
      </c>
      <c r="L1282" s="1393">
        <v>57725</v>
      </c>
      <c r="M1282" s="1385"/>
      <c r="N1282" s="1386"/>
      <c r="O1282" s="1396">
        <v>50</v>
      </c>
      <c r="P1282" s="1387">
        <v>57725.03</v>
      </c>
      <c r="Q1282" s="1385"/>
      <c r="R1282" s="1387">
        <v>0</v>
      </c>
      <c r="S1282" s="1385"/>
      <c r="T1282" s="1385"/>
      <c r="U1282" s="1385"/>
      <c r="V1282" s="1385"/>
      <c r="W1282" s="1385"/>
      <c r="X1282" s="1385"/>
      <c r="Y1282" s="1389">
        <f t="shared" si="338"/>
        <v>0</v>
      </c>
      <c r="Z1282" s="1387">
        <f t="shared" si="338"/>
        <v>0</v>
      </c>
      <c r="AA1282" s="1385">
        <f t="shared" si="339"/>
        <v>0</v>
      </c>
      <c r="AB1282" s="1376">
        <f t="shared" si="339"/>
        <v>0</v>
      </c>
      <c r="AC1282" s="1377">
        <f t="shared" si="340"/>
        <v>0</v>
      </c>
      <c r="AD1282" s="1378">
        <v>0</v>
      </c>
      <c r="AE1282" s="1379" t="s">
        <v>2058</v>
      </c>
    </row>
    <row r="1283" spans="1:32">
      <c r="A1283" s="112"/>
      <c r="B1283" s="112"/>
      <c r="C1283" s="112"/>
      <c r="D1283" s="112"/>
      <c r="E1283" s="112"/>
      <c r="F1283" s="112"/>
      <c r="G1283" s="112"/>
      <c r="H1283" s="112"/>
      <c r="I1283" s="112"/>
      <c r="J1283" s="112"/>
      <c r="K1283" s="112"/>
      <c r="L1283" s="112"/>
      <c r="M1283" s="112"/>
      <c r="N1283" s="112"/>
      <c r="O1283" s="112"/>
      <c r="P1283" s="112"/>
      <c r="Q1283" s="112"/>
      <c r="R1283" s="112"/>
      <c r="S1283" s="112"/>
      <c r="T1283" s="112"/>
      <c r="U1283" s="112"/>
      <c r="V1283" s="112"/>
      <c r="W1283" s="112"/>
      <c r="X1283" s="112"/>
      <c r="Y1283" s="570"/>
      <c r="Z1283" s="112"/>
      <c r="AA1283" s="112"/>
      <c r="AB1283" s="112"/>
      <c r="AC1283" s="112"/>
      <c r="AD1283" s="112"/>
      <c r="AE1283" s="112"/>
    </row>
    <row r="1284" spans="1:32" s="69" customFormat="1" ht="27.75" customHeight="1">
      <c r="A1284" s="67">
        <v>30</v>
      </c>
      <c r="B1284" s="67"/>
      <c r="C1284" s="67"/>
      <c r="D1284" s="67"/>
      <c r="E1284" s="67"/>
      <c r="F1284" s="67"/>
      <c r="G1284" s="67"/>
      <c r="H1284" s="67"/>
      <c r="I1284" s="68" t="s">
        <v>217</v>
      </c>
      <c r="J1284" s="67"/>
      <c r="K1284" s="67"/>
      <c r="L1284" s="67"/>
      <c r="M1284" s="67"/>
      <c r="N1284" s="67"/>
      <c r="O1284" s="67"/>
      <c r="P1284" s="67"/>
      <c r="Q1284" s="67"/>
      <c r="R1284" s="67"/>
      <c r="S1284" s="67"/>
      <c r="T1284" s="67"/>
      <c r="U1284" s="67"/>
      <c r="V1284" s="67"/>
      <c r="W1284" s="67"/>
      <c r="X1284" s="67"/>
      <c r="Y1284" s="366"/>
      <c r="Z1284" s="67"/>
      <c r="AA1284" s="67"/>
      <c r="AB1284" s="67"/>
      <c r="AC1284" s="67"/>
      <c r="AD1284" s="67"/>
      <c r="AE1284" s="67"/>
    </row>
    <row r="1285" spans="1:32">
      <c r="A1285" s="111"/>
      <c r="B1285" s="111"/>
      <c r="C1285" s="111"/>
      <c r="D1285" s="111"/>
      <c r="E1285" s="111"/>
      <c r="F1285" s="111"/>
      <c r="G1285" s="111"/>
      <c r="H1285" s="111"/>
      <c r="I1285" s="111"/>
      <c r="J1285" s="111"/>
      <c r="K1285" s="111"/>
      <c r="L1285" s="111"/>
      <c r="M1285" s="111"/>
      <c r="N1285" s="111"/>
      <c r="O1285" s="111"/>
      <c r="P1285" s="111"/>
      <c r="Q1285" s="111"/>
      <c r="R1285" s="111"/>
      <c r="S1285" s="111"/>
      <c r="T1285" s="111"/>
      <c r="U1285" s="111"/>
      <c r="V1285" s="111"/>
      <c r="W1285" s="111"/>
      <c r="X1285" s="111"/>
      <c r="Y1285" s="571"/>
      <c r="Z1285" s="111"/>
      <c r="AA1285" s="111"/>
      <c r="AB1285" s="111"/>
      <c r="AC1285" s="111"/>
      <c r="AD1285" s="111"/>
      <c r="AE1285" s="111"/>
    </row>
    <row r="1286" spans="1:32" s="69" customFormat="1" ht="33.75" customHeight="1">
      <c r="A1286" s="72"/>
      <c r="B1286" s="72"/>
      <c r="C1286" s="72"/>
      <c r="D1286" s="72"/>
      <c r="E1286" s="72"/>
      <c r="F1286" s="72"/>
      <c r="G1286" s="72"/>
      <c r="H1286" s="72"/>
      <c r="I1286" s="73" t="s">
        <v>218</v>
      </c>
      <c r="J1286" s="72"/>
      <c r="K1286" s="72"/>
      <c r="L1286" s="72"/>
      <c r="M1286" s="72"/>
      <c r="N1286" s="72"/>
      <c r="O1286" s="72"/>
      <c r="P1286" s="72"/>
      <c r="Q1286" s="72"/>
      <c r="R1286" s="72"/>
      <c r="S1286" s="72"/>
      <c r="T1286" s="72"/>
      <c r="U1286" s="72"/>
      <c r="V1286" s="72"/>
      <c r="W1286" s="72"/>
      <c r="X1286" s="72"/>
      <c r="Y1286" s="561"/>
      <c r="Z1286" s="72"/>
      <c r="AA1286" s="72"/>
      <c r="AB1286" s="72"/>
      <c r="AC1286" s="72"/>
      <c r="AD1286" s="72"/>
      <c r="AE1286" s="72"/>
    </row>
    <row r="1287" spans="1:32" s="69" customFormat="1" ht="24.75" customHeight="1">
      <c r="A1287" s="67">
        <v>31</v>
      </c>
      <c r="B1287" s="67"/>
      <c r="C1287" s="67"/>
      <c r="D1287" s="67"/>
      <c r="E1287" s="67"/>
      <c r="F1287" s="67"/>
      <c r="G1287" s="67"/>
      <c r="H1287" s="67"/>
      <c r="I1287" s="68" t="s">
        <v>906</v>
      </c>
      <c r="J1287" s="67"/>
      <c r="K1287" s="67"/>
      <c r="L1287" s="67"/>
      <c r="M1287" s="67"/>
      <c r="N1287" s="67"/>
      <c r="O1287" s="67"/>
      <c r="P1287" s="67"/>
      <c r="Q1287" s="67"/>
      <c r="R1287" s="67"/>
      <c r="S1287" s="67"/>
      <c r="T1287" s="67"/>
      <c r="U1287" s="67"/>
      <c r="V1287" s="67"/>
      <c r="W1287" s="67"/>
      <c r="X1287" s="67"/>
      <c r="Y1287" s="366"/>
      <c r="Z1287" s="67"/>
      <c r="AA1287" s="67"/>
      <c r="AB1287" s="67"/>
      <c r="AC1287" s="67"/>
      <c r="AD1287" s="67"/>
      <c r="AE1287" s="67"/>
    </row>
    <row r="1288" spans="1:32" customFormat="1" ht="99" customHeight="1">
      <c r="A1288" s="1081">
        <v>1</v>
      </c>
      <c r="B1288" s="1082" t="s">
        <v>1037</v>
      </c>
      <c r="C1288" s="1083">
        <v>3</v>
      </c>
      <c r="D1288" s="1083" t="s">
        <v>107</v>
      </c>
      <c r="E1288" s="1083" t="s">
        <v>66</v>
      </c>
      <c r="F1288" s="1083" t="s">
        <v>66</v>
      </c>
      <c r="G1288" s="1084"/>
      <c r="H1288" s="1084"/>
      <c r="I1288" s="1081" t="s">
        <v>221</v>
      </c>
      <c r="J1288" s="1085" t="s">
        <v>1038</v>
      </c>
      <c r="K1288" s="1086">
        <f>SUM(K1289:K1300)/12</f>
        <v>67</v>
      </c>
      <c r="L1288" s="1086">
        <f>SUM(L1289:L1300)</f>
        <v>6057500000</v>
      </c>
      <c r="M1288" s="1086">
        <f>SUM(M1289:M1300)/12</f>
        <v>22</v>
      </c>
      <c r="N1288" s="1081">
        <f>SUM(N1289:N1301)</f>
        <v>1165404355</v>
      </c>
      <c r="O1288" s="1086">
        <f>SUM(O1289:O1300)/12</f>
        <v>11.166666666666666</v>
      </c>
      <c r="P1288" s="1081">
        <f>SUM(P1289:P1300)</f>
        <v>511677878</v>
      </c>
      <c r="Q1288" s="1086">
        <f>SUM(Q1289:Q1300)/12</f>
        <v>2.5</v>
      </c>
      <c r="R1288" s="1086">
        <f>SUM(R1289:R1299)</f>
        <v>95913325</v>
      </c>
      <c r="S1288" s="1086">
        <f>SUM(S1289:S1300)/12</f>
        <v>0</v>
      </c>
      <c r="T1288" s="1081">
        <f>SUM(T1289:T1299)</f>
        <v>0</v>
      </c>
      <c r="U1288" s="1086">
        <f>SUM(U1289:U1300)/12</f>
        <v>0</v>
      </c>
      <c r="V1288" s="1081">
        <f>SUM(V1289:V1299)</f>
        <v>0</v>
      </c>
      <c r="W1288" s="1086">
        <f>SUM(W1289:W1300)/12</f>
        <v>0</v>
      </c>
      <c r="X1288" s="1081">
        <f>SUM(X1289:X1299)</f>
        <v>0</v>
      </c>
      <c r="Y1288" s="1086">
        <f>SUM(Y1289:Y1300)/12</f>
        <v>2.5</v>
      </c>
      <c r="Z1288" s="1081">
        <f t="shared" ref="Z1288:Z1300" si="342">+R1288+T1288+V1288+X1288</f>
        <v>95913325</v>
      </c>
      <c r="AA1288" s="1086">
        <f>SUM(AA1289:AA1300)/12</f>
        <v>24.5</v>
      </c>
      <c r="AB1288" s="1081">
        <f t="shared" ref="AB1288:AB1299" si="343">+N1288+Z1288</f>
        <v>1261317680</v>
      </c>
      <c r="AC1288" s="1086">
        <f>SUM(AC1289:AC1300)/12</f>
        <v>34.027777777777779</v>
      </c>
      <c r="AD1288" s="1087">
        <f t="shared" ref="AD1288:AD1300" si="344">(AB1288/L1288)*100</f>
        <v>20.82241320676847</v>
      </c>
      <c r="AE1288" s="2569" t="s">
        <v>1434</v>
      </c>
      <c r="AF1288" s="1088"/>
    </row>
    <row r="1289" spans="1:32" customFormat="1" ht="48.75" customHeight="1">
      <c r="A1289" s="1886"/>
      <c r="B1289" s="1114"/>
      <c r="C1289" s="1089">
        <v>3</v>
      </c>
      <c r="D1289" s="1089" t="s">
        <v>107</v>
      </c>
      <c r="E1289" s="1089" t="s">
        <v>66</v>
      </c>
      <c r="F1289" s="1089" t="s">
        <v>66</v>
      </c>
      <c r="G1289" s="1089" t="s">
        <v>65</v>
      </c>
      <c r="H1289" s="1089"/>
      <c r="I1289" s="1090" t="s">
        <v>195</v>
      </c>
      <c r="J1289" s="1091" t="s">
        <v>1435</v>
      </c>
      <c r="K1289" s="1886">
        <v>72</v>
      </c>
      <c r="L1289" s="1886">
        <f>60000000+65000000+75000000+75500000+78000000+80000000</f>
        <v>433500000</v>
      </c>
      <c r="M1289" s="1886">
        <v>24</v>
      </c>
      <c r="N1289" s="1886">
        <f>45987962+49885950</f>
        <v>95873912</v>
      </c>
      <c r="O1289" s="1886">
        <v>12</v>
      </c>
      <c r="P1289" s="1886">
        <f>+[6]Sheet1!$D$3</f>
        <v>49800000</v>
      </c>
      <c r="Q1289" s="1886">
        <v>3</v>
      </c>
      <c r="R1289" s="1886">
        <f>[6]Sheet1!$E$3</f>
        <v>7860525</v>
      </c>
      <c r="S1289" s="1886">
        <f>T1289/P1289%</f>
        <v>0</v>
      </c>
      <c r="T1289" s="1886">
        <v>0</v>
      </c>
      <c r="U1289" s="1886">
        <f>V1289/P1289*100</f>
        <v>0</v>
      </c>
      <c r="V1289" s="1886">
        <v>0</v>
      </c>
      <c r="W1289" s="1086">
        <f t="shared" ref="W1289:W1299" si="345">X1289/P1289*100</f>
        <v>0</v>
      </c>
      <c r="X1289" s="1086">
        <v>0</v>
      </c>
      <c r="Y1289" s="1886">
        <f t="shared" ref="Y1289:Y1300" si="346">Q1289+S1289+U1289+W1289</f>
        <v>3</v>
      </c>
      <c r="Z1289" s="1886">
        <f t="shared" si="342"/>
        <v>7860525</v>
      </c>
      <c r="AA1289" s="1886">
        <f t="shared" ref="AA1289:AA1300" si="347">+Y1289+M1289</f>
        <v>27</v>
      </c>
      <c r="AB1289" s="1091">
        <f>N1289+Z1289</f>
        <v>103734437</v>
      </c>
      <c r="AC1289" s="1091">
        <f t="shared" ref="AC1289:AC1300" si="348">(AA1289/K1289)*100</f>
        <v>37.5</v>
      </c>
      <c r="AD1289" s="1092">
        <f>(AB1289/L1289)*100</f>
        <v>23.929512572087656</v>
      </c>
      <c r="AE1289" s="2570"/>
    </row>
    <row r="1290" spans="1:32" customFormat="1" ht="38.25">
      <c r="A1290" s="1081"/>
      <c r="B1290" s="1081"/>
      <c r="C1290" s="1089">
        <v>3</v>
      </c>
      <c r="D1290" s="1089" t="s">
        <v>107</v>
      </c>
      <c r="E1290" s="1089" t="s">
        <v>66</v>
      </c>
      <c r="F1290" s="1089" t="s">
        <v>66</v>
      </c>
      <c r="G1290" s="1089" t="s">
        <v>198</v>
      </c>
      <c r="H1290" s="1089"/>
      <c r="I1290" s="1090" t="s">
        <v>199</v>
      </c>
      <c r="J1290" s="1091" t="s">
        <v>1436</v>
      </c>
      <c r="K1290" s="1886">
        <v>72</v>
      </c>
      <c r="L1290" s="1886">
        <f>70000000+75000000+80000000+81000000+85000000+90000000</f>
        <v>481000000</v>
      </c>
      <c r="M1290" s="1886">
        <v>24</v>
      </c>
      <c r="N1290" s="1886">
        <f>63245000+67480000</f>
        <v>130725000</v>
      </c>
      <c r="O1290" s="1886">
        <v>12</v>
      </c>
      <c r="P1290" s="1886">
        <f>+[6]Sheet1!$D$6</f>
        <v>82800000</v>
      </c>
      <c r="Q1290" s="1886">
        <v>3</v>
      </c>
      <c r="R1290" s="1886">
        <f>[6]Sheet1!$E$6</f>
        <v>12950000</v>
      </c>
      <c r="S1290" s="1886">
        <f t="shared" ref="S1290:S1299" si="349">T1290/P1290%</f>
        <v>0</v>
      </c>
      <c r="T1290" s="1886">
        <v>0</v>
      </c>
      <c r="U1290" s="1886">
        <f t="shared" ref="U1290:U1299" si="350">V1290/P1290*100</f>
        <v>0</v>
      </c>
      <c r="V1290" s="1886">
        <v>0</v>
      </c>
      <c r="W1290" s="1086">
        <f t="shared" si="345"/>
        <v>0</v>
      </c>
      <c r="X1290" s="1886">
        <v>0</v>
      </c>
      <c r="Y1290" s="1886">
        <f t="shared" si="346"/>
        <v>3</v>
      </c>
      <c r="Z1290" s="1886">
        <f t="shared" si="342"/>
        <v>12950000</v>
      </c>
      <c r="AA1290" s="1886">
        <f t="shared" si="347"/>
        <v>27</v>
      </c>
      <c r="AB1290" s="1091">
        <f>N1290+Z1290</f>
        <v>143675000</v>
      </c>
      <c r="AC1290" s="1091">
        <f t="shared" si="348"/>
        <v>37.5</v>
      </c>
      <c r="AD1290" s="1092">
        <f t="shared" si="344"/>
        <v>29.870062370062371</v>
      </c>
      <c r="AE1290" s="2570"/>
    </row>
    <row r="1291" spans="1:32" customFormat="1" ht="29.25" customHeight="1">
      <c r="A1291" s="1886"/>
      <c r="B1291" s="1886"/>
      <c r="C1291" s="1089">
        <v>3</v>
      </c>
      <c r="D1291" s="1089" t="s">
        <v>107</v>
      </c>
      <c r="E1291" s="1089" t="s">
        <v>66</v>
      </c>
      <c r="F1291" s="1089" t="s">
        <v>66</v>
      </c>
      <c r="G1291" s="1089" t="s">
        <v>93</v>
      </c>
      <c r="H1291" s="1089"/>
      <c r="I1291" s="1090" t="s">
        <v>200</v>
      </c>
      <c r="J1291" s="1091" t="s">
        <v>1437</v>
      </c>
      <c r="K1291" s="1886">
        <v>72</v>
      </c>
      <c r="L1291" s="1886">
        <f>65000000+70000000+70500000+72500000+75000000+80000000</f>
        <v>433000000</v>
      </c>
      <c r="M1291" s="1886">
        <v>24</v>
      </c>
      <c r="N1291" s="1886">
        <f>67296000+42849400</f>
        <v>110145400</v>
      </c>
      <c r="O1291" s="1886">
        <v>12</v>
      </c>
      <c r="P1291" s="1886">
        <f>[6]Sheet1!$D$9</f>
        <v>57205391</v>
      </c>
      <c r="Q1291" s="1886">
        <v>3</v>
      </c>
      <c r="R1291" s="1886">
        <f>[6]Sheet1!$E$9</f>
        <v>12830000</v>
      </c>
      <c r="S1291" s="1886">
        <f t="shared" si="349"/>
        <v>0</v>
      </c>
      <c r="T1291" s="1886">
        <v>0</v>
      </c>
      <c r="U1291" s="1886">
        <f t="shared" si="350"/>
        <v>0</v>
      </c>
      <c r="V1291" s="1886">
        <v>0</v>
      </c>
      <c r="W1291" s="1086">
        <f t="shared" si="345"/>
        <v>0</v>
      </c>
      <c r="X1291" s="1886">
        <v>0</v>
      </c>
      <c r="Y1291" s="1886">
        <f t="shared" si="346"/>
        <v>3</v>
      </c>
      <c r="Z1291" s="1886">
        <f t="shared" si="342"/>
        <v>12830000</v>
      </c>
      <c r="AA1291" s="1886">
        <f t="shared" si="347"/>
        <v>27</v>
      </c>
      <c r="AB1291" s="1091">
        <f>N1291+Z1291</f>
        <v>122975400</v>
      </c>
      <c r="AC1291" s="1091">
        <f t="shared" si="348"/>
        <v>37.5</v>
      </c>
      <c r="AD1291" s="1092">
        <f t="shared" si="344"/>
        <v>28.400785219399538</v>
      </c>
      <c r="AE1291" s="2570"/>
    </row>
    <row r="1292" spans="1:32" customFormat="1" ht="42" customHeight="1">
      <c r="A1292" s="1886"/>
      <c r="B1292" s="1886"/>
      <c r="C1292" s="1089">
        <v>3</v>
      </c>
      <c r="D1292" s="1089" t="s">
        <v>107</v>
      </c>
      <c r="E1292" s="1089" t="s">
        <v>66</v>
      </c>
      <c r="F1292" s="1089" t="s">
        <v>66</v>
      </c>
      <c r="G1292" s="1089" t="s">
        <v>201</v>
      </c>
      <c r="H1292" s="1089"/>
      <c r="I1292" s="1090" t="s">
        <v>1438</v>
      </c>
      <c r="J1292" s="1093" t="s">
        <v>1439</v>
      </c>
      <c r="K1292" s="1886">
        <v>72</v>
      </c>
      <c r="L1292" s="1886">
        <f>70000000+45000000+45000000+45500000+50000000+55000000</f>
        <v>310500000</v>
      </c>
      <c r="M1292" s="1886">
        <v>24</v>
      </c>
      <c r="N1292" s="1886">
        <f>28931900+33050000</f>
        <v>61981900</v>
      </c>
      <c r="O1292" s="1886">
        <v>12</v>
      </c>
      <c r="P1292" s="1886">
        <f>[6]Sheet1!$D$13</f>
        <v>24350000</v>
      </c>
      <c r="Q1292" s="1886">
        <v>3</v>
      </c>
      <c r="R1292" s="1886">
        <f>[6]Sheet1!$E$13</f>
        <v>6350000</v>
      </c>
      <c r="S1292" s="1886">
        <f t="shared" si="349"/>
        <v>0</v>
      </c>
      <c r="T1292" s="1886">
        <v>0</v>
      </c>
      <c r="U1292" s="1886">
        <f t="shared" si="350"/>
        <v>0</v>
      </c>
      <c r="V1292" s="1886">
        <v>0</v>
      </c>
      <c r="W1292" s="1086">
        <f t="shared" si="345"/>
        <v>0</v>
      </c>
      <c r="X1292" s="1886">
        <v>0</v>
      </c>
      <c r="Y1292" s="1886">
        <f t="shared" si="346"/>
        <v>3</v>
      </c>
      <c r="Z1292" s="1886">
        <f t="shared" si="342"/>
        <v>6350000</v>
      </c>
      <c r="AA1292" s="1886">
        <f t="shared" si="347"/>
        <v>27</v>
      </c>
      <c r="AB1292" s="1091">
        <f>N1292+Z1292</f>
        <v>68331900</v>
      </c>
      <c r="AC1292" s="1091">
        <f t="shared" si="348"/>
        <v>37.5</v>
      </c>
      <c r="AD1292" s="1092">
        <f t="shared" si="344"/>
        <v>22.00705314009662</v>
      </c>
      <c r="AE1292" s="2570"/>
    </row>
    <row r="1293" spans="1:32" customFormat="1" ht="22.5" customHeight="1">
      <c r="A1293" s="1886"/>
      <c r="B1293" s="1886"/>
      <c r="C1293" s="1089">
        <v>3</v>
      </c>
      <c r="D1293" s="1089" t="s">
        <v>107</v>
      </c>
      <c r="E1293" s="1089" t="s">
        <v>66</v>
      </c>
      <c r="F1293" s="1089" t="s">
        <v>66</v>
      </c>
      <c r="G1293" s="1089" t="s">
        <v>202</v>
      </c>
      <c r="H1293" s="1089"/>
      <c r="I1293" s="1090" t="s">
        <v>1440</v>
      </c>
      <c r="J1293" s="1091" t="s">
        <v>1441</v>
      </c>
      <c r="K1293" s="1886">
        <v>72</v>
      </c>
      <c r="L1293" s="1886">
        <f>70000000+73000000+75000000+75500000+80000000+85000000</f>
        <v>458500000</v>
      </c>
      <c r="M1293" s="1886">
        <v>24</v>
      </c>
      <c r="N1293" s="1886">
        <f>35342500+35031000</f>
        <v>70373500</v>
      </c>
      <c r="O1293" s="1886">
        <v>12</v>
      </c>
      <c r="P1293" s="1886">
        <f>[6]Sheet1!$D$16</f>
        <v>31655923</v>
      </c>
      <c r="Q1293" s="1886">
        <v>3</v>
      </c>
      <c r="R1293" s="1886">
        <f>[6]Sheet1!$E$16</f>
        <v>5240000</v>
      </c>
      <c r="S1293" s="1886">
        <f t="shared" si="349"/>
        <v>0</v>
      </c>
      <c r="T1293" s="1886">
        <v>0</v>
      </c>
      <c r="U1293" s="1886">
        <f t="shared" si="350"/>
        <v>0</v>
      </c>
      <c r="V1293" s="1886">
        <v>0</v>
      </c>
      <c r="W1293" s="1086">
        <f t="shared" si="345"/>
        <v>0</v>
      </c>
      <c r="X1293" s="1886">
        <v>0</v>
      </c>
      <c r="Y1293" s="1886">
        <f t="shared" si="346"/>
        <v>3</v>
      </c>
      <c r="Z1293" s="1886">
        <f t="shared" si="342"/>
        <v>5240000</v>
      </c>
      <c r="AA1293" s="1886">
        <f t="shared" si="347"/>
        <v>27</v>
      </c>
      <c r="AB1293" s="1091">
        <f>N1293+Z1293</f>
        <v>75613500</v>
      </c>
      <c r="AC1293" s="1091">
        <f t="shared" si="348"/>
        <v>37.5</v>
      </c>
      <c r="AD1293" s="1092">
        <f t="shared" si="344"/>
        <v>16.491494002181025</v>
      </c>
      <c r="AE1293" s="2570"/>
    </row>
    <row r="1294" spans="1:32" customFormat="1" ht="25.5">
      <c r="A1294" s="1886"/>
      <c r="B1294" s="1886"/>
      <c r="C1294" s="1089">
        <v>3</v>
      </c>
      <c r="D1294" s="1089" t="s">
        <v>107</v>
      </c>
      <c r="E1294" s="1089" t="s">
        <v>66</v>
      </c>
      <c r="F1294" s="1089" t="s">
        <v>66</v>
      </c>
      <c r="G1294" s="1089" t="s">
        <v>417</v>
      </c>
      <c r="H1294" s="1089"/>
      <c r="I1294" s="1090" t="s">
        <v>204</v>
      </c>
      <c r="J1294" s="1091" t="s">
        <v>1442</v>
      </c>
      <c r="K1294" s="1886">
        <v>72</v>
      </c>
      <c r="L1294" s="1886">
        <f>50000000+53000000+55000000+55500000+60000000+70000000</f>
        <v>343500000</v>
      </c>
      <c r="M1294" s="1886">
        <v>24</v>
      </c>
      <c r="N1294" s="1886">
        <f>42522500+42519000</f>
        <v>85041500</v>
      </c>
      <c r="O1294" s="1886">
        <v>12</v>
      </c>
      <c r="P1294" s="1886">
        <f>[6]Sheet1!$D$19</f>
        <v>22793564</v>
      </c>
      <c r="Q1294" s="1886">
        <v>3</v>
      </c>
      <c r="R1294" s="1886">
        <f>[6]Sheet1!$E$19</f>
        <v>3800000</v>
      </c>
      <c r="S1294" s="1886">
        <f t="shared" si="349"/>
        <v>0</v>
      </c>
      <c r="T1294" s="1886">
        <v>0</v>
      </c>
      <c r="U1294" s="1886">
        <f t="shared" si="350"/>
        <v>0</v>
      </c>
      <c r="V1294" s="1886">
        <v>0</v>
      </c>
      <c r="W1294" s="1086">
        <f t="shared" si="345"/>
        <v>0</v>
      </c>
      <c r="X1294" s="1886">
        <v>0</v>
      </c>
      <c r="Y1294" s="1886">
        <f t="shared" si="346"/>
        <v>3</v>
      </c>
      <c r="Z1294" s="1886">
        <f t="shared" si="342"/>
        <v>3800000</v>
      </c>
      <c r="AA1294" s="1886">
        <f t="shared" si="347"/>
        <v>27</v>
      </c>
      <c r="AB1294" s="1091">
        <f t="shared" si="343"/>
        <v>88841500</v>
      </c>
      <c r="AC1294" s="1091">
        <f t="shared" si="348"/>
        <v>37.5</v>
      </c>
      <c r="AD1294" s="1092">
        <f t="shared" si="344"/>
        <v>25.863609898107715</v>
      </c>
      <c r="AE1294" s="2570"/>
    </row>
    <row r="1295" spans="1:32" customFormat="1" ht="51">
      <c r="A1295" s="1886"/>
      <c r="B1295" s="1886"/>
      <c r="C1295" s="1089">
        <v>3</v>
      </c>
      <c r="D1295" s="1089" t="s">
        <v>107</v>
      </c>
      <c r="E1295" s="1089" t="s">
        <v>66</v>
      </c>
      <c r="F1295" s="1089" t="s">
        <v>66</v>
      </c>
      <c r="G1295" s="1089" t="s">
        <v>160</v>
      </c>
      <c r="H1295" s="1089"/>
      <c r="I1295" s="1090" t="s">
        <v>205</v>
      </c>
      <c r="J1295" s="1091" t="s">
        <v>1443</v>
      </c>
      <c r="K1295" s="1886">
        <v>72</v>
      </c>
      <c r="L1295" s="1886">
        <f>30000000+33000000+35000000+35500000+40000000+45000000</f>
        <v>218500000</v>
      </c>
      <c r="M1295" s="1886">
        <v>24</v>
      </c>
      <c r="N1295" s="1886">
        <f>21659000+21719000</f>
        <v>43378000</v>
      </c>
      <c r="O1295" s="1886">
        <v>12</v>
      </c>
      <c r="P1295" s="1886">
        <f>[6]Sheet1!$D$22</f>
        <v>12738000</v>
      </c>
      <c r="Q1295" s="1886">
        <f t="shared" ref="Q1295:Q1300" si="351">R1295/P1295*100</f>
        <v>0</v>
      </c>
      <c r="R1295" s="1886">
        <f>[6]Sheet1!$E$22</f>
        <v>0</v>
      </c>
      <c r="S1295" s="1886">
        <f t="shared" si="349"/>
        <v>0</v>
      </c>
      <c r="T1295" s="1886">
        <v>0</v>
      </c>
      <c r="U1295" s="1886">
        <f t="shared" si="350"/>
        <v>0</v>
      </c>
      <c r="V1295" s="1886">
        <v>0</v>
      </c>
      <c r="W1295" s="1086">
        <f t="shared" si="345"/>
        <v>0</v>
      </c>
      <c r="X1295" s="1886">
        <v>0</v>
      </c>
      <c r="Y1295" s="1886">
        <f t="shared" si="346"/>
        <v>0</v>
      </c>
      <c r="Z1295" s="1886">
        <f t="shared" si="342"/>
        <v>0</v>
      </c>
      <c r="AA1295" s="1886">
        <f t="shared" si="347"/>
        <v>24</v>
      </c>
      <c r="AB1295" s="1091">
        <f t="shared" si="343"/>
        <v>43378000</v>
      </c>
      <c r="AC1295" s="1091">
        <f t="shared" si="348"/>
        <v>33.333333333333329</v>
      </c>
      <c r="AD1295" s="1092">
        <f t="shared" si="344"/>
        <v>19.852631578947371</v>
      </c>
      <c r="AE1295" s="2570"/>
    </row>
    <row r="1296" spans="1:32" customFormat="1" ht="45" customHeight="1">
      <c r="A1296" s="1886"/>
      <c r="B1296" s="1886"/>
      <c r="C1296" s="1089">
        <v>3</v>
      </c>
      <c r="D1296" s="1089" t="s">
        <v>107</v>
      </c>
      <c r="E1296" s="1089" t="s">
        <v>66</v>
      </c>
      <c r="F1296" s="1089" t="s">
        <v>66</v>
      </c>
      <c r="G1296" s="1089" t="s">
        <v>155</v>
      </c>
      <c r="H1296" s="1089"/>
      <c r="I1296" s="1090" t="s">
        <v>533</v>
      </c>
      <c r="J1296" s="1091" t="s">
        <v>1444</v>
      </c>
      <c r="K1296" s="1886">
        <v>72</v>
      </c>
      <c r="L1296" s="1886">
        <f>20000000+23000000+25000000+25500000+30000000+35000000</f>
        <v>158500000</v>
      </c>
      <c r="M1296" s="1886">
        <v>24</v>
      </c>
      <c r="N1296" s="1886">
        <f>8900000+12400000</f>
        <v>21300000</v>
      </c>
      <c r="O1296" s="1886">
        <v>12</v>
      </c>
      <c r="P1296" s="1886">
        <f>[6]Sheet1!$D$25</f>
        <v>6400000</v>
      </c>
      <c r="Q1296" s="1886">
        <v>3</v>
      </c>
      <c r="R1296" s="1886">
        <f>[6]Sheet1!$E$25</f>
        <v>720000</v>
      </c>
      <c r="S1296" s="1886">
        <f t="shared" si="349"/>
        <v>0</v>
      </c>
      <c r="T1296" s="1886">
        <v>0</v>
      </c>
      <c r="U1296" s="1886">
        <f t="shared" si="350"/>
        <v>0</v>
      </c>
      <c r="V1296" s="1886">
        <v>0</v>
      </c>
      <c r="W1296" s="1086">
        <f t="shared" si="345"/>
        <v>0</v>
      </c>
      <c r="X1296" s="1886">
        <v>0</v>
      </c>
      <c r="Y1296" s="1886">
        <f t="shared" si="346"/>
        <v>3</v>
      </c>
      <c r="Z1296" s="1886">
        <f t="shared" si="342"/>
        <v>720000</v>
      </c>
      <c r="AA1296" s="1886">
        <f t="shared" si="347"/>
        <v>27</v>
      </c>
      <c r="AB1296" s="1091">
        <f t="shared" si="343"/>
        <v>22020000</v>
      </c>
      <c r="AC1296" s="1091">
        <f t="shared" si="348"/>
        <v>37.5</v>
      </c>
      <c r="AD1296" s="1092">
        <f t="shared" si="344"/>
        <v>13.892744479495267</v>
      </c>
      <c r="AE1296" s="2570"/>
    </row>
    <row r="1297" spans="1:31" customFormat="1" ht="38.25">
      <c r="A1297" s="1886"/>
      <c r="B1297" s="1886"/>
      <c r="C1297" s="1089">
        <v>3</v>
      </c>
      <c r="D1297" s="1089" t="s">
        <v>107</v>
      </c>
      <c r="E1297" s="1089" t="s">
        <v>66</v>
      </c>
      <c r="F1297" s="1089" t="s">
        <v>66</v>
      </c>
      <c r="G1297" s="1089" t="s">
        <v>448</v>
      </c>
      <c r="H1297" s="1089"/>
      <c r="I1297" s="1090" t="s">
        <v>206</v>
      </c>
      <c r="J1297" s="1091" t="s">
        <v>1445</v>
      </c>
      <c r="K1297" s="1886">
        <v>72</v>
      </c>
      <c r="L1297" s="1886">
        <f>40000000+45000000+55000000+55500000+60000000+65000000</f>
        <v>320500000</v>
      </c>
      <c r="M1297" s="1886">
        <v>24</v>
      </c>
      <c r="N1297" s="1886">
        <f>42215000+38192500</f>
        <v>80407500</v>
      </c>
      <c r="O1297" s="1886">
        <v>12</v>
      </c>
      <c r="P1297" s="1886">
        <f>[6]Sheet1!$D$28</f>
        <v>43610000</v>
      </c>
      <c r="Q1297" s="1886">
        <v>3</v>
      </c>
      <c r="R1297" s="1886">
        <f>[6]Sheet1!$E$28</f>
        <v>11715000</v>
      </c>
      <c r="S1297" s="1886">
        <f t="shared" si="349"/>
        <v>0</v>
      </c>
      <c r="T1297" s="1886">
        <v>0</v>
      </c>
      <c r="U1297" s="1886">
        <f t="shared" si="350"/>
        <v>0</v>
      </c>
      <c r="V1297" s="1886">
        <v>0</v>
      </c>
      <c r="W1297" s="1086">
        <f t="shared" si="345"/>
        <v>0</v>
      </c>
      <c r="X1297" s="1886">
        <v>0</v>
      </c>
      <c r="Y1297" s="1886">
        <f t="shared" si="346"/>
        <v>3</v>
      </c>
      <c r="Z1297" s="1886">
        <f t="shared" si="342"/>
        <v>11715000</v>
      </c>
      <c r="AA1297" s="1886">
        <f t="shared" si="347"/>
        <v>27</v>
      </c>
      <c r="AB1297" s="1091">
        <f t="shared" si="343"/>
        <v>92122500</v>
      </c>
      <c r="AC1297" s="1091">
        <f t="shared" si="348"/>
        <v>37.5</v>
      </c>
      <c r="AD1297" s="1092">
        <f t="shared" si="344"/>
        <v>28.743369734789393</v>
      </c>
      <c r="AE1297" s="2570"/>
    </row>
    <row r="1298" spans="1:31" customFormat="1" ht="38.25">
      <c r="A1298" s="1886"/>
      <c r="B1298" s="1886"/>
      <c r="C1298" s="1089">
        <v>3</v>
      </c>
      <c r="D1298" s="1089" t="s">
        <v>107</v>
      </c>
      <c r="E1298" s="1089" t="s">
        <v>66</v>
      </c>
      <c r="F1298" s="1089" t="s">
        <v>66</v>
      </c>
      <c r="G1298" s="1089" t="s">
        <v>167</v>
      </c>
      <c r="H1298" s="1089"/>
      <c r="I1298" s="1090" t="s">
        <v>207</v>
      </c>
      <c r="J1298" s="1091" t="s">
        <v>1446</v>
      </c>
      <c r="K1298" s="1886">
        <v>72</v>
      </c>
      <c r="L1298" s="1886">
        <f>250000000+300000000+335000000+340000000+350000000+360000000</f>
        <v>1935000000</v>
      </c>
      <c r="M1298" s="1886">
        <v>24</v>
      </c>
      <c r="N1298" s="1886">
        <f>203794943+159982700</f>
        <v>363777643</v>
      </c>
      <c r="O1298" s="1886">
        <v>12</v>
      </c>
      <c r="P1298" s="1886">
        <f>[6]Sheet1!$D$31</f>
        <v>92000000</v>
      </c>
      <c r="Q1298" s="1886">
        <v>3</v>
      </c>
      <c r="R1298" s="1886">
        <f>[6]Sheet1!$E$31</f>
        <v>28447800</v>
      </c>
      <c r="S1298" s="1886">
        <f t="shared" si="349"/>
        <v>0</v>
      </c>
      <c r="T1298" s="1886">
        <v>0</v>
      </c>
      <c r="U1298" s="1886">
        <f t="shared" si="350"/>
        <v>0</v>
      </c>
      <c r="V1298" s="1886">
        <v>0</v>
      </c>
      <c r="W1298" s="1086">
        <f t="shared" si="345"/>
        <v>0</v>
      </c>
      <c r="X1298" s="1886">
        <v>0</v>
      </c>
      <c r="Y1298" s="1886">
        <f t="shared" si="346"/>
        <v>3</v>
      </c>
      <c r="Z1298" s="1886">
        <f t="shared" si="342"/>
        <v>28447800</v>
      </c>
      <c r="AA1298" s="1886">
        <f t="shared" si="347"/>
        <v>27</v>
      </c>
      <c r="AB1298" s="1091">
        <f t="shared" si="343"/>
        <v>392225443</v>
      </c>
      <c r="AC1298" s="1091">
        <f t="shared" si="348"/>
        <v>37.5</v>
      </c>
      <c r="AD1298" s="1092">
        <f t="shared" si="344"/>
        <v>20.270048733850128</v>
      </c>
      <c r="AE1298" s="2570"/>
    </row>
    <row r="1299" spans="1:31" customFormat="1" ht="38.25">
      <c r="A1299" s="1886"/>
      <c r="B1299" s="1886"/>
      <c r="C1299" s="1089">
        <v>3</v>
      </c>
      <c r="D1299" s="1089" t="s">
        <v>107</v>
      </c>
      <c r="E1299" s="1089" t="s">
        <v>66</v>
      </c>
      <c r="F1299" s="1089" t="s">
        <v>66</v>
      </c>
      <c r="G1299" s="1089" t="s">
        <v>376</v>
      </c>
      <c r="H1299" s="1089"/>
      <c r="I1299" s="1090" t="s">
        <v>208</v>
      </c>
      <c r="J1299" s="1091" t="s">
        <v>1447</v>
      </c>
      <c r="K1299" s="1886">
        <v>72</v>
      </c>
      <c r="L1299" s="1886">
        <f>100000000+110000000+120000000+125000000+130000000+140000000</f>
        <v>725000000</v>
      </c>
      <c r="M1299" s="1886">
        <v>24</v>
      </c>
      <c r="N1299" s="1886">
        <f>51200000+51200000</f>
        <v>102400000</v>
      </c>
      <c r="O1299" s="1886">
        <v>12</v>
      </c>
      <c r="P1299" s="1886">
        <f>[6]Sheet1!$D$34</f>
        <v>53325000</v>
      </c>
      <c r="Q1299" s="1886">
        <v>3</v>
      </c>
      <c r="R1299" s="1886">
        <f>[6]Sheet1!$E$34</f>
        <v>6000000</v>
      </c>
      <c r="S1299" s="1886">
        <f t="shared" si="349"/>
        <v>0</v>
      </c>
      <c r="T1299" s="1886">
        <v>0</v>
      </c>
      <c r="U1299" s="1886">
        <f t="shared" si="350"/>
        <v>0</v>
      </c>
      <c r="V1299" s="1886">
        <v>0</v>
      </c>
      <c r="W1299" s="1086">
        <f t="shared" si="345"/>
        <v>0</v>
      </c>
      <c r="X1299" s="1886">
        <v>0</v>
      </c>
      <c r="Y1299" s="1886">
        <f t="shared" si="346"/>
        <v>3</v>
      </c>
      <c r="Z1299" s="1886">
        <f t="shared" si="342"/>
        <v>6000000</v>
      </c>
      <c r="AA1299" s="1886">
        <f t="shared" si="347"/>
        <v>27</v>
      </c>
      <c r="AB1299" s="1091">
        <f t="shared" si="343"/>
        <v>108400000</v>
      </c>
      <c r="AC1299" s="1091">
        <f t="shared" si="348"/>
        <v>37.5</v>
      </c>
      <c r="AD1299" s="1092">
        <f t="shared" si="344"/>
        <v>14.951724137931036</v>
      </c>
      <c r="AE1299" s="2570"/>
    </row>
    <row r="1300" spans="1:31" customFormat="1" ht="48" customHeight="1">
      <c r="A1300" s="1886"/>
      <c r="B1300" s="1886"/>
      <c r="C1300" s="1089">
        <v>3</v>
      </c>
      <c r="D1300" s="1089" t="s">
        <v>107</v>
      </c>
      <c r="E1300" s="1089" t="s">
        <v>66</v>
      </c>
      <c r="F1300" s="1089" t="s">
        <v>66</v>
      </c>
      <c r="G1300" s="1089" t="s">
        <v>1087</v>
      </c>
      <c r="H1300" s="1089"/>
      <c r="I1300" s="1090" t="s">
        <v>1448</v>
      </c>
      <c r="J1300" s="1093" t="s">
        <v>1449</v>
      </c>
      <c r="K1300" s="1886">
        <v>12</v>
      </c>
      <c r="L1300" s="1886">
        <f>25000000+30000000+35000000+40000000+50000000+60000000</f>
        <v>240000000</v>
      </c>
      <c r="M1300" s="1886">
        <v>0</v>
      </c>
      <c r="N1300" s="1886">
        <v>0</v>
      </c>
      <c r="O1300" s="1886">
        <v>2</v>
      </c>
      <c r="P1300" s="1886">
        <f>[6]Sheet1!$D$37</f>
        <v>35000000</v>
      </c>
      <c r="Q1300" s="1886">
        <f t="shared" si="351"/>
        <v>0</v>
      </c>
      <c r="R1300" s="1886">
        <f>[6]Sheet1!$E$37</f>
        <v>0</v>
      </c>
      <c r="S1300" s="1886"/>
      <c r="T1300" s="1886"/>
      <c r="U1300" s="1886"/>
      <c r="V1300" s="1886"/>
      <c r="W1300" s="1086"/>
      <c r="X1300" s="1886"/>
      <c r="Y1300" s="1886">
        <f t="shared" si="346"/>
        <v>0</v>
      </c>
      <c r="Z1300" s="1886">
        <f t="shared" si="342"/>
        <v>0</v>
      </c>
      <c r="AA1300" s="1886">
        <f t="shared" si="347"/>
        <v>0</v>
      </c>
      <c r="AB1300" s="1886">
        <f t="shared" ref="AB1300" si="352">(N1300+Z1300)/2</f>
        <v>0</v>
      </c>
      <c r="AC1300" s="1091">
        <f t="shared" si="348"/>
        <v>0</v>
      </c>
      <c r="AD1300" s="1092">
        <f t="shared" si="344"/>
        <v>0</v>
      </c>
      <c r="AE1300" s="2570"/>
    </row>
    <row r="1301" spans="1:31" customFormat="1" ht="9.75" customHeight="1">
      <c r="A1301" s="1886"/>
      <c r="B1301" s="1886"/>
      <c r="C1301" s="1090"/>
      <c r="D1301" s="1090"/>
      <c r="E1301" s="1090"/>
      <c r="F1301" s="1090"/>
      <c r="G1301" s="1090"/>
      <c r="H1301" s="1090"/>
      <c r="I1301" s="1090"/>
      <c r="J1301" s="1886"/>
      <c r="K1301" s="1886"/>
      <c r="L1301" s="1886"/>
      <c r="M1301" s="1886"/>
      <c r="N1301" s="1886"/>
      <c r="O1301" s="1886" t="s">
        <v>228</v>
      </c>
      <c r="P1301" s="1886"/>
      <c r="Q1301" s="1886"/>
      <c r="R1301" s="1886"/>
      <c r="S1301" s="1886"/>
      <c r="T1301" s="1886"/>
      <c r="U1301" s="1886"/>
      <c r="V1301" s="1886"/>
      <c r="W1301" s="1886"/>
      <c r="X1301" s="1886"/>
      <c r="Y1301" s="1886"/>
      <c r="Z1301" s="1886"/>
      <c r="AA1301" s="1886"/>
      <c r="AB1301" s="1091" t="s">
        <v>228</v>
      </c>
      <c r="AC1301" s="1091"/>
      <c r="AD1301" s="1091" t="s">
        <v>228</v>
      </c>
      <c r="AE1301" s="2570"/>
    </row>
    <row r="1302" spans="1:31" customFormat="1" ht="69" customHeight="1">
      <c r="A1302" s="1086"/>
      <c r="B1302" s="1086"/>
      <c r="C1302" s="1094">
        <v>3</v>
      </c>
      <c r="D1302" s="1094" t="s">
        <v>107</v>
      </c>
      <c r="E1302" s="1094" t="s">
        <v>66</v>
      </c>
      <c r="F1302" s="1094" t="s">
        <v>65</v>
      </c>
      <c r="G1302" s="1095"/>
      <c r="H1302" s="1095"/>
      <c r="I1302" s="1095" t="s">
        <v>257</v>
      </c>
      <c r="J1302" s="1096" t="s">
        <v>1450</v>
      </c>
      <c r="K1302" s="1097">
        <f>SUM(K1303:K1310)/8</f>
        <v>72</v>
      </c>
      <c r="L1302" s="1097">
        <f>SUM(L1303:L1310)</f>
        <v>7276000000</v>
      </c>
      <c r="M1302" s="1097">
        <f>SUM(M1303:M1310)/8</f>
        <v>12</v>
      </c>
      <c r="N1302" s="1086">
        <f>SUM(N1303:N1307)</f>
        <v>602529100</v>
      </c>
      <c r="O1302" s="1097">
        <f>SUM(O1303:O1310)/8</f>
        <v>6</v>
      </c>
      <c r="P1302" s="1086">
        <f>SUM(P1303:P1307)</f>
        <v>277742000</v>
      </c>
      <c r="Q1302" s="1097">
        <f>SUM(Q1303:Q1310)/8</f>
        <v>1.125</v>
      </c>
      <c r="R1302" s="1086">
        <f>SUM(R1303:R1310)</f>
        <v>49440500</v>
      </c>
      <c r="S1302" s="1086">
        <f>T1302/P1302*100</f>
        <v>0</v>
      </c>
      <c r="T1302" s="1086">
        <f>SUM(T1303:T1307)</f>
        <v>0</v>
      </c>
      <c r="U1302" s="1086">
        <f>V1302/P1302*100</f>
        <v>0</v>
      </c>
      <c r="V1302" s="1086">
        <f t="shared" ref="V1302" si="353">SUM(V1303:V1307)</f>
        <v>0</v>
      </c>
      <c r="W1302" s="1086">
        <f>X1302/P1302*100</f>
        <v>0</v>
      </c>
      <c r="X1302" s="1086">
        <f>SUM(X1303:X1307)</f>
        <v>0</v>
      </c>
      <c r="Y1302" s="1086">
        <f t="shared" ref="Y1302:Y1310" si="354">Q1302+S1302+U1302+W1302</f>
        <v>1.125</v>
      </c>
      <c r="Z1302" s="1086">
        <f t="shared" ref="Z1302:Z1310" si="355">+R1302+T1302+V1302+X1302</f>
        <v>49440500</v>
      </c>
      <c r="AA1302" s="1086">
        <f t="shared" ref="AA1302:AA1310" si="356">+Y1302+M1302</f>
        <v>13.125</v>
      </c>
      <c r="AB1302" s="1081">
        <f t="shared" ref="AB1302:AB1328" si="357">+N1302+Z1302</f>
        <v>651969600</v>
      </c>
      <c r="AC1302" s="1081">
        <f t="shared" ref="AC1302:AD1310" si="358">(AA1302/K1302)*100</f>
        <v>18.229166666666664</v>
      </c>
      <c r="AD1302" s="1087">
        <f t="shared" si="358"/>
        <v>8.9605497526113247</v>
      </c>
      <c r="AE1302" s="2570"/>
    </row>
    <row r="1303" spans="1:31" customFormat="1" ht="43.5" customHeight="1">
      <c r="A1303" s="1886"/>
      <c r="B1303" s="1886"/>
      <c r="C1303" s="1089">
        <v>3</v>
      </c>
      <c r="D1303" s="1089" t="s">
        <v>107</v>
      </c>
      <c r="E1303" s="1089" t="s">
        <v>66</v>
      </c>
      <c r="F1303" s="1089" t="s">
        <v>65</v>
      </c>
      <c r="G1303" s="1089" t="s">
        <v>198</v>
      </c>
      <c r="H1303" s="1089"/>
      <c r="I1303" s="1090" t="s">
        <v>1451</v>
      </c>
      <c r="J1303" s="1091" t="s">
        <v>1452</v>
      </c>
      <c r="K1303" s="1886">
        <v>72</v>
      </c>
      <c r="L1303" s="1886">
        <f>35000000+40000000+50000000+60000000+70000000+80000000</f>
        <v>335000000</v>
      </c>
      <c r="M1303" s="1098">
        <v>24</v>
      </c>
      <c r="N1303" s="1886">
        <f>44000000+112000000</f>
        <v>156000000</v>
      </c>
      <c r="O1303" s="1098">
        <v>12</v>
      </c>
      <c r="P1303" s="1886">
        <f>[6]Sheet1!$D$42</f>
        <v>3000000</v>
      </c>
      <c r="Q1303" s="1098">
        <v>3</v>
      </c>
      <c r="R1303" s="1886">
        <f>[6]Sheet1!$E$42</f>
        <v>3000000</v>
      </c>
      <c r="S1303" s="1886">
        <f t="shared" ref="S1303:S1307" si="359">T1303/P1303*100</f>
        <v>0</v>
      </c>
      <c r="T1303" s="1886">
        <v>0</v>
      </c>
      <c r="U1303" s="1886">
        <f t="shared" ref="U1303:U1328" si="360">V1303/P1303*100</f>
        <v>0</v>
      </c>
      <c r="V1303" s="1886">
        <v>0</v>
      </c>
      <c r="W1303" s="1886">
        <f>X1303/P1303*100</f>
        <v>0</v>
      </c>
      <c r="X1303" s="1886">
        <v>0</v>
      </c>
      <c r="Y1303" s="1886">
        <f t="shared" si="354"/>
        <v>3</v>
      </c>
      <c r="Z1303" s="1886">
        <f t="shared" si="355"/>
        <v>3000000</v>
      </c>
      <c r="AA1303" s="1886">
        <f t="shared" si="356"/>
        <v>27</v>
      </c>
      <c r="AB1303" s="1091">
        <f t="shared" si="357"/>
        <v>159000000</v>
      </c>
      <c r="AC1303" s="1091">
        <f t="shared" si="358"/>
        <v>37.5</v>
      </c>
      <c r="AD1303" s="1092">
        <f t="shared" si="358"/>
        <v>47.462686567164184</v>
      </c>
      <c r="AE1303" s="2570"/>
    </row>
    <row r="1304" spans="1:31" customFormat="1" ht="42" customHeight="1">
      <c r="A1304" s="1886"/>
      <c r="B1304" s="1886"/>
      <c r="C1304" s="1089">
        <v>3</v>
      </c>
      <c r="D1304" s="1089" t="s">
        <v>107</v>
      </c>
      <c r="E1304" s="1089" t="s">
        <v>66</v>
      </c>
      <c r="F1304" s="1089" t="s">
        <v>65</v>
      </c>
      <c r="G1304" s="1089" t="s">
        <v>201</v>
      </c>
      <c r="H1304" s="1089"/>
      <c r="I1304" s="1090" t="s">
        <v>1453</v>
      </c>
      <c r="J1304" s="1093" t="s">
        <v>1454</v>
      </c>
      <c r="K1304" s="1886">
        <v>72</v>
      </c>
      <c r="L1304" s="1886">
        <f>45000000+50000000+60000000+75000000+80000000+85000000</f>
        <v>395000000</v>
      </c>
      <c r="M1304" s="1098">
        <v>24</v>
      </c>
      <c r="N1304" s="1886">
        <f>47230000+37000000</f>
        <v>84230000</v>
      </c>
      <c r="O1304" s="1098">
        <v>12</v>
      </c>
      <c r="P1304" s="1886">
        <f>[6]Sheet1!$D$45</f>
        <v>9000000</v>
      </c>
      <c r="Q1304" s="1098">
        <v>3</v>
      </c>
      <c r="R1304" s="1886">
        <f>[6]Sheet1!$E$45</f>
        <v>9000000</v>
      </c>
      <c r="S1304" s="1886">
        <f t="shared" si="359"/>
        <v>0</v>
      </c>
      <c r="T1304" s="1886">
        <v>0</v>
      </c>
      <c r="U1304" s="1886">
        <f t="shared" si="360"/>
        <v>0</v>
      </c>
      <c r="V1304" s="1886">
        <v>0</v>
      </c>
      <c r="W1304" s="1886">
        <f>X1304/P1304*100</f>
        <v>0</v>
      </c>
      <c r="X1304" s="1886">
        <v>0</v>
      </c>
      <c r="Y1304" s="1886">
        <f t="shared" si="354"/>
        <v>3</v>
      </c>
      <c r="Z1304" s="1886">
        <f t="shared" si="355"/>
        <v>9000000</v>
      </c>
      <c r="AA1304" s="1886">
        <f t="shared" si="356"/>
        <v>27</v>
      </c>
      <c r="AB1304" s="1091">
        <f t="shared" si="357"/>
        <v>93230000</v>
      </c>
      <c r="AC1304" s="1091">
        <f t="shared" si="358"/>
        <v>37.5</v>
      </c>
      <c r="AD1304" s="1092">
        <f t="shared" si="358"/>
        <v>23.60253164556962</v>
      </c>
      <c r="AE1304" s="2570"/>
    </row>
    <row r="1305" spans="1:31" customFormat="1" ht="42" customHeight="1">
      <c r="A1305" s="1886"/>
      <c r="B1305" s="1886"/>
      <c r="C1305" s="1089">
        <v>3</v>
      </c>
      <c r="D1305" s="1089" t="s">
        <v>107</v>
      </c>
      <c r="E1305" s="1089" t="s">
        <v>66</v>
      </c>
      <c r="F1305" s="1089" t="s">
        <v>65</v>
      </c>
      <c r="G1305" s="1089"/>
      <c r="H1305" s="1089"/>
      <c r="I1305" s="1090" t="s">
        <v>1455</v>
      </c>
      <c r="J1305" s="1093" t="s">
        <v>1456</v>
      </c>
      <c r="K1305" s="1886">
        <v>72</v>
      </c>
      <c r="L1305" s="1886">
        <f>73000000+77000000+80000000+84000000+85000000+88000000</f>
        <v>487000000</v>
      </c>
      <c r="M1305" s="1886">
        <v>0</v>
      </c>
      <c r="N1305" s="1886">
        <v>0</v>
      </c>
      <c r="O1305" s="1886">
        <v>0</v>
      </c>
      <c r="P1305" s="1886">
        <v>0</v>
      </c>
      <c r="Q1305" s="1886">
        <v>0</v>
      </c>
      <c r="R1305" s="1886">
        <v>0</v>
      </c>
      <c r="S1305" s="1886">
        <v>0</v>
      </c>
      <c r="T1305" s="1886">
        <v>0</v>
      </c>
      <c r="U1305" s="1886">
        <v>0</v>
      </c>
      <c r="V1305" s="1886">
        <v>0</v>
      </c>
      <c r="W1305" s="1886">
        <v>0</v>
      </c>
      <c r="X1305" s="1886">
        <v>0</v>
      </c>
      <c r="Y1305" s="1886">
        <f t="shared" si="354"/>
        <v>0</v>
      </c>
      <c r="Z1305" s="1886">
        <f t="shared" si="355"/>
        <v>0</v>
      </c>
      <c r="AA1305" s="1886">
        <f t="shared" si="356"/>
        <v>0</v>
      </c>
      <c r="AB1305" s="1091">
        <f t="shared" si="357"/>
        <v>0</v>
      </c>
      <c r="AC1305" s="1091">
        <f t="shared" si="358"/>
        <v>0</v>
      </c>
      <c r="AD1305" s="1091">
        <f t="shared" ref="AD1305" si="361">(AB1305/6)*100%</f>
        <v>0</v>
      </c>
      <c r="AE1305" s="2570"/>
    </row>
    <row r="1306" spans="1:31" customFormat="1" ht="33.75" customHeight="1">
      <c r="A1306" s="1886"/>
      <c r="B1306" s="1886"/>
      <c r="C1306" s="1089">
        <v>3</v>
      </c>
      <c r="D1306" s="1089" t="s">
        <v>107</v>
      </c>
      <c r="E1306" s="1089" t="s">
        <v>66</v>
      </c>
      <c r="F1306" s="1089" t="s">
        <v>65</v>
      </c>
      <c r="G1306" s="1089">
        <v>22</v>
      </c>
      <c r="H1306" s="1089"/>
      <c r="I1306" s="1090" t="s">
        <v>1457</v>
      </c>
      <c r="J1306" s="1099" t="s">
        <v>1458</v>
      </c>
      <c r="K1306" s="1886">
        <v>72</v>
      </c>
      <c r="L1306" s="1886">
        <f>90000000+100000000+110000000+125000000+130000000+135000000</f>
        <v>690000000</v>
      </c>
      <c r="M1306" s="1098">
        <v>24</v>
      </c>
      <c r="N1306" s="1886">
        <f>19965000+50000000</f>
        <v>69965000</v>
      </c>
      <c r="O1306" s="1098">
        <v>12</v>
      </c>
      <c r="P1306" s="1886">
        <f>[6]Sheet1!$D$48</f>
        <v>40000000</v>
      </c>
      <c r="Q1306" s="1886">
        <f t="shared" ref="Q1306" si="362">R1306/P1306*100</f>
        <v>0</v>
      </c>
      <c r="R1306" s="1886">
        <f>[6]Sheet1!$E$48</f>
        <v>0</v>
      </c>
      <c r="S1306" s="1886">
        <f t="shared" si="359"/>
        <v>0</v>
      </c>
      <c r="T1306" s="1886">
        <v>0</v>
      </c>
      <c r="U1306" s="1886">
        <f t="shared" si="360"/>
        <v>0</v>
      </c>
      <c r="V1306" s="1886">
        <v>0</v>
      </c>
      <c r="W1306" s="1886">
        <f>X1306/P1306*100</f>
        <v>0</v>
      </c>
      <c r="X1306" s="1886">
        <v>0</v>
      </c>
      <c r="Y1306" s="1886">
        <f t="shared" si="354"/>
        <v>0</v>
      </c>
      <c r="Z1306" s="1886">
        <f t="shared" si="355"/>
        <v>0</v>
      </c>
      <c r="AA1306" s="1886">
        <f t="shared" si="356"/>
        <v>24</v>
      </c>
      <c r="AB1306" s="1091">
        <f t="shared" si="357"/>
        <v>69965000</v>
      </c>
      <c r="AC1306" s="1091">
        <f t="shared" si="358"/>
        <v>33.333333333333329</v>
      </c>
      <c r="AD1306" s="1092">
        <f>(AB1306/L1306)*100</f>
        <v>10.139855072463769</v>
      </c>
      <c r="AE1306" s="2570"/>
    </row>
    <row r="1307" spans="1:31" customFormat="1" ht="38.25">
      <c r="A1307" s="1886"/>
      <c r="B1307" s="1886"/>
      <c r="C1307" s="1089">
        <v>3</v>
      </c>
      <c r="D1307" s="1089" t="s">
        <v>107</v>
      </c>
      <c r="E1307" s="1089" t="s">
        <v>66</v>
      </c>
      <c r="F1307" s="1089" t="s">
        <v>65</v>
      </c>
      <c r="G1307" s="1089">
        <v>24</v>
      </c>
      <c r="H1307" s="1089"/>
      <c r="I1307" s="1090" t="s">
        <v>1459</v>
      </c>
      <c r="J1307" s="1093" t="s">
        <v>1460</v>
      </c>
      <c r="K1307" s="1886">
        <v>72</v>
      </c>
      <c r="L1307" s="1886">
        <f>170000000+180000000+190000000+200000000+210000000+220000000</f>
        <v>1170000000</v>
      </c>
      <c r="M1307" s="1886">
        <v>24</v>
      </c>
      <c r="N1307" s="1886">
        <f>144681100+147653000</f>
        <v>292334100</v>
      </c>
      <c r="O1307" s="1886">
        <v>12</v>
      </c>
      <c r="P1307" s="1886">
        <f>[6]Sheet1!$D$51</f>
        <v>225742000</v>
      </c>
      <c r="Q1307" s="1886">
        <v>3</v>
      </c>
      <c r="R1307" s="1886">
        <f>[6]Sheet1!$E$51</f>
        <v>37440500</v>
      </c>
      <c r="S1307" s="1886">
        <f t="shared" si="359"/>
        <v>0</v>
      </c>
      <c r="T1307" s="1886">
        <v>0</v>
      </c>
      <c r="U1307" s="1886">
        <v>0</v>
      </c>
      <c r="V1307" s="1886">
        <v>0</v>
      </c>
      <c r="W1307" s="1886">
        <f>X1307/P1307*100</f>
        <v>0</v>
      </c>
      <c r="X1307" s="1886">
        <v>0</v>
      </c>
      <c r="Y1307" s="1886">
        <f t="shared" si="354"/>
        <v>3</v>
      </c>
      <c r="Z1307" s="1886">
        <f t="shared" si="355"/>
        <v>37440500</v>
      </c>
      <c r="AA1307" s="1886">
        <f t="shared" si="356"/>
        <v>27</v>
      </c>
      <c r="AB1307" s="1091">
        <f t="shared" si="357"/>
        <v>329774600</v>
      </c>
      <c r="AC1307" s="1091">
        <f t="shared" si="358"/>
        <v>37.5</v>
      </c>
      <c r="AD1307" s="1092">
        <f>(AB1307/L1307)*100</f>
        <v>28.185863247863246</v>
      </c>
      <c r="AE1307" s="2570"/>
    </row>
    <row r="1308" spans="1:31" customFormat="1" ht="63.75">
      <c r="A1308" s="1886"/>
      <c r="B1308" s="1886"/>
      <c r="C1308" s="1089">
        <v>3</v>
      </c>
      <c r="D1308" s="1089" t="s">
        <v>107</v>
      </c>
      <c r="E1308" s="1089" t="s">
        <v>66</v>
      </c>
      <c r="F1308" s="1089" t="s">
        <v>65</v>
      </c>
      <c r="G1308" s="1089"/>
      <c r="H1308" s="1089"/>
      <c r="I1308" s="1090" t="s">
        <v>1461</v>
      </c>
      <c r="J1308" s="1093" t="s">
        <v>1462</v>
      </c>
      <c r="K1308" s="1886">
        <v>72</v>
      </c>
      <c r="L1308" s="1886">
        <f>100000000+105000000+110000000+125000000+135000000+145000000</f>
        <v>720000000</v>
      </c>
      <c r="M1308" s="1886">
        <v>0</v>
      </c>
      <c r="N1308" s="1886">
        <v>0</v>
      </c>
      <c r="O1308" s="1886">
        <v>0</v>
      </c>
      <c r="P1308" s="1886">
        <v>0</v>
      </c>
      <c r="Q1308" s="1886">
        <v>0</v>
      </c>
      <c r="R1308" s="1886">
        <v>0</v>
      </c>
      <c r="S1308" s="1886">
        <v>0</v>
      </c>
      <c r="T1308" s="1886">
        <v>0</v>
      </c>
      <c r="U1308" s="1886">
        <v>0</v>
      </c>
      <c r="V1308" s="1886">
        <v>0</v>
      </c>
      <c r="W1308" s="1886">
        <v>0</v>
      </c>
      <c r="X1308" s="1886">
        <v>0</v>
      </c>
      <c r="Y1308" s="1886">
        <f t="shared" si="354"/>
        <v>0</v>
      </c>
      <c r="Z1308" s="1886">
        <f t="shared" si="355"/>
        <v>0</v>
      </c>
      <c r="AA1308" s="1886">
        <f t="shared" si="356"/>
        <v>0</v>
      </c>
      <c r="AB1308" s="1091">
        <f t="shared" si="357"/>
        <v>0</v>
      </c>
      <c r="AC1308" s="1091">
        <f t="shared" si="358"/>
        <v>0</v>
      </c>
      <c r="AD1308" s="1091">
        <f t="shared" ref="AD1308:AD1310" si="363">(AB1308/6)*100%</f>
        <v>0</v>
      </c>
      <c r="AE1308" s="2570"/>
    </row>
    <row r="1309" spans="1:31" customFormat="1" ht="25.5">
      <c r="A1309" s="1886"/>
      <c r="B1309" s="1886"/>
      <c r="C1309" s="1089">
        <v>3</v>
      </c>
      <c r="D1309" s="1089" t="s">
        <v>107</v>
      </c>
      <c r="E1309" s="1089" t="s">
        <v>66</v>
      </c>
      <c r="F1309" s="1089" t="s">
        <v>65</v>
      </c>
      <c r="G1309" s="1089"/>
      <c r="H1309" s="1089"/>
      <c r="I1309" s="1090" t="s">
        <v>1463</v>
      </c>
      <c r="J1309" s="1093" t="s">
        <v>1464</v>
      </c>
      <c r="K1309" s="1886">
        <v>72</v>
      </c>
      <c r="L1309" s="1886">
        <f>450000000+450000000+450000000+500000000+500000000+550000000</f>
        <v>2900000000</v>
      </c>
      <c r="M1309" s="1886">
        <v>0</v>
      </c>
      <c r="N1309" s="1886">
        <v>0</v>
      </c>
      <c r="O1309" s="1886">
        <v>0</v>
      </c>
      <c r="P1309" s="1886">
        <v>0</v>
      </c>
      <c r="Q1309" s="1886">
        <v>0</v>
      </c>
      <c r="R1309" s="1886">
        <v>0</v>
      </c>
      <c r="S1309" s="1886">
        <v>0</v>
      </c>
      <c r="T1309" s="1886">
        <v>0</v>
      </c>
      <c r="U1309" s="1886">
        <v>0</v>
      </c>
      <c r="V1309" s="1886">
        <v>0</v>
      </c>
      <c r="W1309" s="1886">
        <v>0</v>
      </c>
      <c r="X1309" s="1886">
        <v>0</v>
      </c>
      <c r="Y1309" s="1886">
        <f t="shared" si="354"/>
        <v>0</v>
      </c>
      <c r="Z1309" s="1886">
        <f t="shared" si="355"/>
        <v>0</v>
      </c>
      <c r="AA1309" s="1886">
        <f t="shared" si="356"/>
        <v>0</v>
      </c>
      <c r="AB1309" s="1091">
        <f t="shared" si="357"/>
        <v>0</v>
      </c>
      <c r="AC1309" s="1091">
        <f t="shared" si="358"/>
        <v>0</v>
      </c>
      <c r="AD1309" s="1091">
        <f t="shared" si="363"/>
        <v>0</v>
      </c>
      <c r="AE1309" s="2570"/>
    </row>
    <row r="1310" spans="1:31" customFormat="1" ht="51">
      <c r="A1310" s="1886"/>
      <c r="B1310" s="1886"/>
      <c r="C1310" s="1089">
        <v>3</v>
      </c>
      <c r="D1310" s="1089" t="s">
        <v>107</v>
      </c>
      <c r="E1310" s="1089" t="s">
        <v>66</v>
      </c>
      <c r="F1310" s="1089" t="s">
        <v>65</v>
      </c>
      <c r="G1310" s="1089"/>
      <c r="H1310" s="1089"/>
      <c r="I1310" s="1090" t="s">
        <v>1465</v>
      </c>
      <c r="J1310" s="1093" t="s">
        <v>1466</v>
      </c>
      <c r="K1310" s="1886">
        <v>72</v>
      </c>
      <c r="L1310" s="1886">
        <f>80000000+9000000+100000000+130000000+130000000+130000000</f>
        <v>579000000</v>
      </c>
      <c r="M1310" s="1886">
        <v>0</v>
      </c>
      <c r="N1310" s="1886">
        <v>0</v>
      </c>
      <c r="O1310" s="1886">
        <v>0</v>
      </c>
      <c r="P1310" s="1886">
        <v>0</v>
      </c>
      <c r="Q1310" s="1886">
        <v>0</v>
      </c>
      <c r="R1310" s="1886">
        <v>0</v>
      </c>
      <c r="S1310" s="1886">
        <v>0</v>
      </c>
      <c r="T1310" s="1886">
        <v>0</v>
      </c>
      <c r="U1310" s="1886">
        <v>0</v>
      </c>
      <c r="V1310" s="1886">
        <v>0</v>
      </c>
      <c r="W1310" s="1886">
        <v>0</v>
      </c>
      <c r="X1310" s="1886">
        <v>0</v>
      </c>
      <c r="Y1310" s="1886">
        <f t="shared" si="354"/>
        <v>0</v>
      </c>
      <c r="Z1310" s="1886">
        <f t="shared" si="355"/>
        <v>0</v>
      </c>
      <c r="AA1310" s="1886">
        <f t="shared" si="356"/>
        <v>0</v>
      </c>
      <c r="AB1310" s="1091">
        <f t="shared" si="357"/>
        <v>0</v>
      </c>
      <c r="AC1310" s="1091">
        <f t="shared" si="358"/>
        <v>0</v>
      </c>
      <c r="AD1310" s="1091">
        <f t="shared" si="363"/>
        <v>0</v>
      </c>
      <c r="AE1310" s="2570"/>
    </row>
    <row r="1311" spans="1:31" customFormat="1" ht="81.75" customHeight="1">
      <c r="A1311" s="1081"/>
      <c r="B1311" s="1081"/>
      <c r="C1311" s="1084"/>
      <c r="D1311" s="1094"/>
      <c r="E1311" s="1094"/>
      <c r="F1311" s="1095"/>
      <c r="G1311" s="1084"/>
      <c r="H1311" s="1084"/>
      <c r="I1311" s="1084" t="s">
        <v>1467</v>
      </c>
      <c r="J1311" s="1085" t="s">
        <v>1468</v>
      </c>
      <c r="K1311" s="1100">
        <f>(K1312+K1313)/2</f>
        <v>72</v>
      </c>
      <c r="L1311" s="1097">
        <f>L1312+L1313</f>
        <v>641500000</v>
      </c>
      <c r="M1311" s="1100">
        <f>(M1312+M1313)/2</f>
        <v>6</v>
      </c>
      <c r="N1311" s="1091">
        <f>N1312</f>
        <v>24570000</v>
      </c>
      <c r="O1311" s="1100">
        <f>(O1312+O1313)/2</f>
        <v>0</v>
      </c>
      <c r="P1311" s="1886">
        <f>P1312</f>
        <v>0</v>
      </c>
      <c r="Q1311" s="1100">
        <f>(Q1312+Q1313)/2</f>
        <v>0</v>
      </c>
      <c r="R1311" s="1886">
        <f>R1312</f>
        <v>0</v>
      </c>
      <c r="S1311" s="1100">
        <f>(S1312+S1313)/2</f>
        <v>0</v>
      </c>
      <c r="T1311" s="1886">
        <f>T1312</f>
        <v>0</v>
      </c>
      <c r="U1311" s="1100">
        <f>(U1312+U1313)/2</f>
        <v>0</v>
      </c>
      <c r="V1311" s="1886">
        <f>V1312</f>
        <v>0</v>
      </c>
      <c r="W1311" s="1100">
        <f>(W1312+W1313)/2</f>
        <v>0</v>
      </c>
      <c r="X1311" s="1091">
        <f>X1312</f>
        <v>0</v>
      </c>
      <c r="Y1311" s="1100">
        <f>(Y1312+Y1313)/2</f>
        <v>0</v>
      </c>
      <c r="Z1311" s="1091">
        <v>0</v>
      </c>
      <c r="AA1311" s="1100">
        <f>(AA1312+AA1313)/2</f>
        <v>6</v>
      </c>
      <c r="AB1311" s="1091">
        <f t="shared" si="357"/>
        <v>24570000</v>
      </c>
      <c r="AC1311" s="1100">
        <v>0</v>
      </c>
      <c r="AD1311" s="1092">
        <f>(AB1311/L1311)*100</f>
        <v>3.8300857365549494</v>
      </c>
      <c r="AE1311" s="2570"/>
    </row>
    <row r="1312" spans="1:31" customFormat="1" ht="45" customHeight="1">
      <c r="A1312" s="1091"/>
      <c r="B1312" s="1091"/>
      <c r="C1312" s="1089"/>
      <c r="D1312" s="1089"/>
      <c r="E1312" s="1089"/>
      <c r="F1312" s="1101"/>
      <c r="G1312" s="1101"/>
      <c r="H1312" s="1101"/>
      <c r="I1312" s="1101" t="s">
        <v>1469</v>
      </c>
      <c r="J1312" s="1091" t="s">
        <v>1470</v>
      </c>
      <c r="K1312" s="1091">
        <v>72</v>
      </c>
      <c r="L1312" s="1886">
        <f>40000000+40000000+40000000+41000000+42000000+43000000</f>
        <v>246000000</v>
      </c>
      <c r="M1312" s="1091">
        <v>12</v>
      </c>
      <c r="N1312" s="1886">
        <v>24570000</v>
      </c>
      <c r="O1312" s="1886">
        <v>0</v>
      </c>
      <c r="P1312" s="1886">
        <v>0</v>
      </c>
      <c r="Q1312" s="1091">
        <v>0</v>
      </c>
      <c r="R1312" s="1091">
        <f>'[7]Maret 17 '!$H$70</f>
        <v>0</v>
      </c>
      <c r="S1312" s="1886">
        <v>0</v>
      </c>
      <c r="T1312" s="1091">
        <v>0</v>
      </c>
      <c r="U1312" s="1886">
        <v>0</v>
      </c>
      <c r="V1312" s="1091">
        <v>0</v>
      </c>
      <c r="W1312" s="1091">
        <v>0</v>
      </c>
      <c r="X1312" s="1091">
        <v>0</v>
      </c>
      <c r="Y1312" s="1886">
        <f>Q1312+S1312+U1312+W1312</f>
        <v>0</v>
      </c>
      <c r="Z1312" s="1091">
        <v>0</v>
      </c>
      <c r="AA1312" s="1886">
        <f>+Y1312+M1312</f>
        <v>12</v>
      </c>
      <c r="AB1312" s="1091">
        <f t="shared" si="357"/>
        <v>24570000</v>
      </c>
      <c r="AC1312" s="1091">
        <f>(AA1312/K1312)*100</f>
        <v>16.666666666666664</v>
      </c>
      <c r="AD1312" s="1092">
        <f>(AB1312/L1312)*100</f>
        <v>9.9878048780487809</v>
      </c>
      <c r="AE1312" s="2570"/>
    </row>
    <row r="1313" spans="1:41" customFormat="1" ht="33.75" customHeight="1">
      <c r="A1313" s="1091"/>
      <c r="B1313" s="1091"/>
      <c r="C1313" s="1089"/>
      <c r="D1313" s="1089"/>
      <c r="E1313" s="1089"/>
      <c r="F1313" s="1101"/>
      <c r="G1313" s="1101"/>
      <c r="H1313" s="1101"/>
      <c r="I1313" s="1101" t="s">
        <v>1471</v>
      </c>
      <c r="J1313" s="1091" t="s">
        <v>1472</v>
      </c>
      <c r="K1313" s="1091">
        <v>72</v>
      </c>
      <c r="L1313" s="1886">
        <f>60000000+62500000+65000000+65500000+70000000+72500000</f>
        <v>395500000</v>
      </c>
      <c r="M1313" s="1091">
        <v>0</v>
      </c>
      <c r="N1313" s="1886">
        <v>0</v>
      </c>
      <c r="O1313" s="1886">
        <v>0</v>
      </c>
      <c r="P1313" s="1886">
        <v>0</v>
      </c>
      <c r="Q1313" s="1091">
        <v>0</v>
      </c>
      <c r="R1313" s="1091">
        <v>0</v>
      </c>
      <c r="S1313" s="1886">
        <v>0</v>
      </c>
      <c r="T1313" s="1091">
        <v>0</v>
      </c>
      <c r="U1313" s="1886">
        <v>0</v>
      </c>
      <c r="V1313" s="1091">
        <v>0</v>
      </c>
      <c r="W1313" s="1091">
        <v>0</v>
      </c>
      <c r="X1313" s="1091"/>
      <c r="Y1313" s="1886">
        <f>Q1313+S1313+U1313+W1313</f>
        <v>0</v>
      </c>
      <c r="Z1313" s="1091"/>
      <c r="AA1313" s="1886">
        <f>+Y1313+M1313</f>
        <v>0</v>
      </c>
      <c r="AB1313" s="1091"/>
      <c r="AC1313" s="1091">
        <f>(AA1313/K1313)*100</f>
        <v>0</v>
      </c>
      <c r="AD1313" s="1091"/>
      <c r="AE1313" s="2570"/>
    </row>
    <row r="1314" spans="1:41" customFormat="1" ht="12" customHeight="1">
      <c r="A1314" s="1886"/>
      <c r="B1314" s="1886"/>
      <c r="C1314" s="1090"/>
      <c r="D1314" s="1090"/>
      <c r="E1314" s="1090"/>
      <c r="F1314" s="1090"/>
      <c r="G1314" s="1090"/>
      <c r="H1314" s="1090"/>
      <c r="I1314" s="1090"/>
      <c r="J1314" s="1886"/>
      <c r="K1314" s="1886"/>
      <c r="L1314" s="1886"/>
      <c r="M1314" s="1886"/>
      <c r="N1314" s="1886"/>
      <c r="O1314" s="1886"/>
      <c r="P1314" s="1886"/>
      <c r="Q1314" s="1886"/>
      <c r="R1314" s="1886"/>
      <c r="S1314" s="1886"/>
      <c r="T1314" s="1886"/>
      <c r="U1314" s="1886"/>
      <c r="V1314" s="1886"/>
      <c r="W1314" s="1886"/>
      <c r="X1314" s="1886"/>
      <c r="Y1314" s="1886">
        <f>Q1314+S1314+U1314+W1314</f>
        <v>0</v>
      </c>
      <c r="Z1314" s="1886"/>
      <c r="AA1314" s="1886">
        <f>+Y1314+M1314</f>
        <v>0</v>
      </c>
      <c r="AB1314" s="1091">
        <f t="shared" si="357"/>
        <v>0</v>
      </c>
      <c r="AC1314" s="1091">
        <f t="shared" ref="AC1314:AD1314" si="364">(AA1314/6)*100%</f>
        <v>0</v>
      </c>
      <c r="AD1314" s="1091">
        <f t="shared" si="364"/>
        <v>0</v>
      </c>
      <c r="AE1314" s="2570"/>
    </row>
    <row r="1315" spans="1:41" customFormat="1" ht="81" customHeight="1">
      <c r="A1315" s="1081"/>
      <c r="B1315" s="1081"/>
      <c r="C1315" s="1084"/>
      <c r="D1315" s="1094" t="s">
        <v>107</v>
      </c>
      <c r="E1315" s="1094" t="s">
        <v>66</v>
      </c>
      <c r="F1315" s="1095" t="s">
        <v>228</v>
      </c>
      <c r="G1315" s="1084"/>
      <c r="H1315" s="1084"/>
      <c r="I1315" s="1084" t="s">
        <v>1473</v>
      </c>
      <c r="J1315" s="1085" t="s">
        <v>1468</v>
      </c>
      <c r="K1315" s="1096">
        <v>72</v>
      </c>
      <c r="L1315" s="1097">
        <f>L1316</f>
        <v>297000000</v>
      </c>
      <c r="M1315" s="1093">
        <v>30</v>
      </c>
      <c r="N1315" s="1091">
        <f>N1316</f>
        <v>82599900</v>
      </c>
      <c r="O1315" s="1102" t="s">
        <v>228</v>
      </c>
      <c r="P1315" s="1886">
        <f>P1316</f>
        <v>0</v>
      </c>
      <c r="Q1315" s="1091">
        <v>0</v>
      </c>
      <c r="R1315" s="1886">
        <f>R1316</f>
        <v>0</v>
      </c>
      <c r="S1315" s="1886">
        <v>0</v>
      </c>
      <c r="T1315" s="1886">
        <f>T1316</f>
        <v>0</v>
      </c>
      <c r="U1315" s="1886">
        <v>0</v>
      </c>
      <c r="V1315" s="1886">
        <f>V1316</f>
        <v>0</v>
      </c>
      <c r="W1315" s="1091">
        <v>0</v>
      </c>
      <c r="X1315" s="1091">
        <f>X1316</f>
        <v>0</v>
      </c>
      <c r="Y1315" s="1886">
        <f>Q1315+S1315+U1315+W1315</f>
        <v>0</v>
      </c>
      <c r="Z1315" s="1091">
        <v>0</v>
      </c>
      <c r="AA1315" s="1886">
        <f>+Y1315+M1315</f>
        <v>30</v>
      </c>
      <c r="AB1315" s="1091">
        <f t="shared" si="357"/>
        <v>82599900</v>
      </c>
      <c r="AC1315" s="1091">
        <f>(AA1315/K1315)*100</f>
        <v>41.666666666666671</v>
      </c>
      <c r="AD1315" s="1092">
        <f>(AB1315/L1315)*100</f>
        <v>27.811414141414144</v>
      </c>
      <c r="AE1315" s="2570"/>
      <c r="AF1315" s="1103"/>
      <c r="AG1315" s="1103"/>
      <c r="AH1315" s="1103"/>
      <c r="AI1315" s="1103"/>
      <c r="AJ1315" s="1103"/>
      <c r="AK1315" s="1103"/>
      <c r="AL1315" s="1103"/>
      <c r="AM1315" s="1103"/>
      <c r="AN1315" s="1103"/>
      <c r="AO1315" s="1103"/>
    </row>
    <row r="1316" spans="1:41" customFormat="1" ht="45.75" customHeight="1">
      <c r="A1316" s="1091"/>
      <c r="B1316" s="1091"/>
      <c r="C1316" s="1089">
        <v>3</v>
      </c>
      <c r="D1316" s="1089" t="s">
        <v>107</v>
      </c>
      <c r="E1316" s="1089" t="s">
        <v>66</v>
      </c>
      <c r="F1316" s="1101"/>
      <c r="G1316" s="1101" t="s">
        <v>228</v>
      </c>
      <c r="H1316" s="1101"/>
      <c r="I1316" s="1101" t="s">
        <v>1224</v>
      </c>
      <c r="J1316" s="1091" t="s">
        <v>1474</v>
      </c>
      <c r="K1316" s="1091">
        <v>72</v>
      </c>
      <c r="L1316" s="1886">
        <f>47000000+50000000+50000000+50000000+50000000+50000000</f>
        <v>297000000</v>
      </c>
      <c r="M1316" s="1091">
        <v>24</v>
      </c>
      <c r="N1316" s="1886">
        <f>48994700+33605200</f>
        <v>82599900</v>
      </c>
      <c r="O1316" s="1886">
        <v>0</v>
      </c>
      <c r="P1316" s="1886">
        <v>0</v>
      </c>
      <c r="Q1316" s="1091">
        <v>0</v>
      </c>
      <c r="R1316" s="1091">
        <f>'[7]Maret 17 '!$H$70</f>
        <v>0</v>
      </c>
      <c r="S1316" s="1886">
        <v>0</v>
      </c>
      <c r="T1316" s="1091">
        <v>0</v>
      </c>
      <c r="U1316" s="1886">
        <v>0</v>
      </c>
      <c r="V1316" s="1091">
        <v>0</v>
      </c>
      <c r="W1316" s="1091">
        <v>0</v>
      </c>
      <c r="X1316" s="1091">
        <v>0</v>
      </c>
      <c r="Y1316" s="1886">
        <f>Q1316+S1316+U1316+W1316</f>
        <v>0</v>
      </c>
      <c r="Z1316" s="1091">
        <v>0</v>
      </c>
      <c r="AA1316" s="1886">
        <f>+Y1316+M1316</f>
        <v>24</v>
      </c>
      <c r="AB1316" s="1091">
        <f t="shared" si="357"/>
        <v>82599900</v>
      </c>
      <c r="AC1316" s="1091">
        <f>(AA1316/K1316)*100</f>
        <v>33.333333333333329</v>
      </c>
      <c r="AD1316" s="1092">
        <f>(AB1316/L1316)*100</f>
        <v>27.811414141414144</v>
      </c>
      <c r="AE1316" s="2570"/>
      <c r="AF1316" s="1103"/>
      <c r="AG1316" s="1103"/>
      <c r="AH1316" s="1103"/>
      <c r="AI1316" s="1103"/>
      <c r="AJ1316" s="1103"/>
      <c r="AK1316" s="1103"/>
      <c r="AL1316" s="1103"/>
      <c r="AM1316" s="1103"/>
      <c r="AN1316" s="1103"/>
      <c r="AO1316" s="1103"/>
    </row>
    <row r="1317" spans="1:41" customFormat="1" ht="83.25" customHeight="1">
      <c r="A1317" s="1086"/>
      <c r="B1317" s="1086"/>
      <c r="C1317" s="1094">
        <v>3</v>
      </c>
      <c r="D1317" s="1094" t="s">
        <v>107</v>
      </c>
      <c r="E1317" s="1094" t="s">
        <v>66</v>
      </c>
      <c r="F1317" s="1094">
        <v>20</v>
      </c>
      <c r="G1317" s="1095"/>
      <c r="H1317" s="1095"/>
      <c r="I1317" s="1086" t="s">
        <v>1475</v>
      </c>
      <c r="J1317" s="1081" t="s">
        <v>1476</v>
      </c>
      <c r="K1317" s="1097">
        <f>SUM(K1318:K1323)/6</f>
        <v>3499</v>
      </c>
      <c r="L1317" s="1097">
        <f>SUM(L1318:L1334)</f>
        <v>24617500000</v>
      </c>
      <c r="M1317" s="1097">
        <f>SUM(M1318:M1323)/6</f>
        <v>700</v>
      </c>
      <c r="N1317" s="1086">
        <f>SUM(N1318:N1328)</f>
        <v>3878403300</v>
      </c>
      <c r="O1317" s="1097">
        <f>SUM(O1318:O1323)/6</f>
        <v>540.83333333333337</v>
      </c>
      <c r="P1317" s="1086">
        <f>SUM(P1318:P1328)</f>
        <v>2228250939</v>
      </c>
      <c r="Q1317" s="1097">
        <f>SUM(Q1318:Q1323)/6</f>
        <v>70.833333333333329</v>
      </c>
      <c r="R1317" s="1086">
        <f>SUM(R1318:R1328)</f>
        <v>521970350</v>
      </c>
      <c r="S1317" s="1097">
        <f>SUM(S1318:S1323)/6</f>
        <v>0</v>
      </c>
      <c r="T1317" s="1086">
        <f>SUM(T1318:T1328)</f>
        <v>0</v>
      </c>
      <c r="U1317" s="1097">
        <f>SUM(U1318:U1323)/6</f>
        <v>0</v>
      </c>
      <c r="V1317" s="1086">
        <f>SUM(V1318:V1328)</f>
        <v>0</v>
      </c>
      <c r="W1317" s="1097">
        <f>SUM(W1318:W1323)/6</f>
        <v>0</v>
      </c>
      <c r="X1317" s="1086">
        <f>SUM(X1318:X1328)</f>
        <v>0</v>
      </c>
      <c r="Y1317" s="1097">
        <f>SUM(Y1318:Y1323)/6</f>
        <v>70.833333333333329</v>
      </c>
      <c r="Z1317" s="1086">
        <f t="shared" ref="Z1317:Z1328" si="365">+R1317+T1317+V1317+X1317</f>
        <v>521970350</v>
      </c>
      <c r="AA1317" s="1097">
        <f>SUM(AA1318:AA1323)/6</f>
        <v>770.83333333333337</v>
      </c>
      <c r="AB1317" s="1081">
        <f t="shared" si="357"/>
        <v>4400373650</v>
      </c>
      <c r="AC1317" s="1097">
        <f>SUM(AC1318:AC1323)/6</f>
        <v>15.397906634563938</v>
      </c>
      <c r="AD1317" s="1092">
        <f>(AB1317/L1317)*100</f>
        <v>17.874981821874684</v>
      </c>
      <c r="AE1317" s="2570"/>
    </row>
    <row r="1318" spans="1:41" customFormat="1" ht="38.25">
      <c r="A1318" s="1886"/>
      <c r="B1318" s="1886"/>
      <c r="C1318" s="1089">
        <v>3</v>
      </c>
      <c r="D1318" s="1089" t="s">
        <v>107</v>
      </c>
      <c r="E1318" s="1089" t="s">
        <v>66</v>
      </c>
      <c r="F1318" s="1089">
        <v>20</v>
      </c>
      <c r="G1318" s="1089" t="s">
        <v>66</v>
      </c>
      <c r="H1318" s="1089"/>
      <c r="I1318" s="1886" t="s">
        <v>1477</v>
      </c>
      <c r="J1318" s="1091" t="s">
        <v>1478</v>
      </c>
      <c r="K1318" s="1886">
        <v>1424</v>
      </c>
      <c r="L1318" s="1886">
        <f>1400000000+1500000000+1600000000+1650000000+1700000000+1900000000</f>
        <v>9750000000</v>
      </c>
      <c r="M1318" s="1886">
        <v>256</v>
      </c>
      <c r="N1318" s="1886">
        <f>889835750+954842450</f>
        <v>1844678200</v>
      </c>
      <c r="O1318" s="1886">
        <v>200</v>
      </c>
      <c r="P1318" s="1886">
        <f>[6]Sheet1!$D$57</f>
        <v>1051610535</v>
      </c>
      <c r="Q1318" s="1886">
        <v>60</v>
      </c>
      <c r="R1318" s="1886">
        <f>[6]Sheet1!$E$57</f>
        <v>265681000</v>
      </c>
      <c r="S1318" s="1886">
        <f t="shared" ref="S1318:S1328" si="366">T1318/P1318*100</f>
        <v>0</v>
      </c>
      <c r="T1318" s="1886">
        <v>0</v>
      </c>
      <c r="U1318" s="1886">
        <f t="shared" si="360"/>
        <v>0</v>
      </c>
      <c r="V1318" s="1886">
        <v>0</v>
      </c>
      <c r="W1318" s="1086">
        <f t="shared" ref="W1318:W1328" si="367">X1318/P1318*100</f>
        <v>0</v>
      </c>
      <c r="X1318" s="1886">
        <v>0</v>
      </c>
      <c r="Y1318" s="1886">
        <f t="shared" ref="Y1318:Y1334" si="368">Q1318+S1318+U1318+W1318</f>
        <v>60</v>
      </c>
      <c r="Z1318" s="1886">
        <f t="shared" si="365"/>
        <v>265681000</v>
      </c>
      <c r="AA1318" s="1886">
        <f t="shared" ref="AA1318:AA1334" si="369">+Y1318+M1318</f>
        <v>316</v>
      </c>
      <c r="AB1318" s="1091">
        <f t="shared" si="357"/>
        <v>2110359200</v>
      </c>
      <c r="AC1318" s="1091">
        <f t="shared" ref="AC1318:AC1334" si="370">(AA1318/K1318)*100</f>
        <v>22.191011235955056</v>
      </c>
      <c r="AD1318" s="1092">
        <f>(AB1318/L1318)*100</f>
        <v>21.644709743589743</v>
      </c>
      <c r="AE1318" s="2570"/>
    </row>
    <row r="1319" spans="1:41" customFormat="1" ht="63.75">
      <c r="A1319" s="1886"/>
      <c r="B1319" s="1886"/>
      <c r="C1319" s="1089">
        <v>3</v>
      </c>
      <c r="D1319" s="1089" t="s">
        <v>107</v>
      </c>
      <c r="E1319" s="1089" t="s">
        <v>66</v>
      </c>
      <c r="F1319" s="1089">
        <v>20</v>
      </c>
      <c r="G1319" s="1089" t="s">
        <v>65</v>
      </c>
      <c r="H1319" s="1089"/>
      <c r="I1319" s="1886" t="s">
        <v>1479</v>
      </c>
      <c r="J1319" s="1091" t="s">
        <v>1480</v>
      </c>
      <c r="K1319" s="1886">
        <v>280</v>
      </c>
      <c r="L1319" s="1886">
        <v>650000000</v>
      </c>
      <c r="M1319" s="1886">
        <v>63</v>
      </c>
      <c r="N1319" s="1886">
        <f>512517500+421693850</f>
        <v>934211350</v>
      </c>
      <c r="O1319" s="1886">
        <v>45</v>
      </c>
      <c r="P1319" s="1886">
        <f>[6]Sheet1!$D$60</f>
        <v>632026454</v>
      </c>
      <c r="Q1319" s="1886">
        <v>10</v>
      </c>
      <c r="R1319" s="1886">
        <f>[6]Sheet1!$E$60</f>
        <v>169913350</v>
      </c>
      <c r="S1319" s="1886">
        <f t="shared" si="366"/>
        <v>0</v>
      </c>
      <c r="T1319" s="1886">
        <v>0</v>
      </c>
      <c r="U1319" s="1886">
        <f t="shared" si="360"/>
        <v>0</v>
      </c>
      <c r="V1319" s="1886">
        <v>0</v>
      </c>
      <c r="W1319" s="1086">
        <f t="shared" si="367"/>
        <v>0</v>
      </c>
      <c r="X1319" s="1886">
        <v>0</v>
      </c>
      <c r="Y1319" s="1886">
        <f t="shared" si="368"/>
        <v>10</v>
      </c>
      <c r="Z1319" s="1886">
        <f t="shared" si="365"/>
        <v>169913350</v>
      </c>
      <c r="AA1319" s="1886">
        <f t="shared" si="369"/>
        <v>73</v>
      </c>
      <c r="AB1319" s="1091">
        <f t="shared" si="357"/>
        <v>1104124700</v>
      </c>
      <c r="AC1319" s="1091">
        <f t="shared" si="370"/>
        <v>26.071428571428573</v>
      </c>
      <c r="AD1319" s="1092">
        <f>(AB1319/L1319)*100</f>
        <v>169.86533846153847</v>
      </c>
      <c r="AE1319" s="2570"/>
    </row>
    <row r="1320" spans="1:41" customFormat="1" ht="38.25">
      <c r="A1320" s="1886"/>
      <c r="B1320" s="1886"/>
      <c r="C1320" s="1089">
        <v>3</v>
      </c>
      <c r="D1320" s="1089" t="s">
        <v>107</v>
      </c>
      <c r="E1320" s="1089" t="s">
        <v>66</v>
      </c>
      <c r="F1320" s="1089">
        <v>20</v>
      </c>
      <c r="G1320" s="1089" t="s">
        <v>161</v>
      </c>
      <c r="H1320" s="1089"/>
      <c r="I1320" s="1886" t="s">
        <v>1481</v>
      </c>
      <c r="J1320" s="1886" t="s">
        <v>1482</v>
      </c>
      <c r="K1320" s="1886">
        <v>9600</v>
      </c>
      <c r="L1320" s="1886">
        <f>45000000+50000000+55000000+55500000+56000000+60000000</f>
        <v>321500000</v>
      </c>
      <c r="M1320" s="1886">
        <v>2279</v>
      </c>
      <c r="N1320" s="1886">
        <f>23985000+43662770</f>
        <v>67647770</v>
      </c>
      <c r="O1320" s="1886">
        <v>1500</v>
      </c>
      <c r="P1320" s="1886">
        <f>[6]Sheet1!$D$63</f>
        <v>24345000</v>
      </c>
      <c r="Q1320" s="1886">
        <v>55</v>
      </c>
      <c r="R1320" s="1886">
        <f>[6]Sheet1!$E$63</f>
        <v>900000</v>
      </c>
      <c r="S1320" s="1886">
        <f t="shared" si="366"/>
        <v>0</v>
      </c>
      <c r="T1320" s="1886">
        <v>0</v>
      </c>
      <c r="U1320" s="1886">
        <f t="shared" si="360"/>
        <v>0</v>
      </c>
      <c r="V1320" s="1886">
        <v>0</v>
      </c>
      <c r="W1320" s="1086">
        <f t="shared" si="367"/>
        <v>0</v>
      </c>
      <c r="X1320" s="1886">
        <v>0</v>
      </c>
      <c r="Y1320" s="1886">
        <f t="shared" si="368"/>
        <v>55</v>
      </c>
      <c r="Z1320" s="1886">
        <f t="shared" si="365"/>
        <v>900000</v>
      </c>
      <c r="AA1320" s="1886">
        <f t="shared" si="369"/>
        <v>2334</v>
      </c>
      <c r="AB1320" s="1091">
        <f t="shared" si="357"/>
        <v>68547770</v>
      </c>
      <c r="AC1320" s="1091">
        <f t="shared" si="370"/>
        <v>24.3125</v>
      </c>
      <c r="AD1320" s="1092">
        <f>(AB1320/L1320)*100</f>
        <v>21.321234836702953</v>
      </c>
      <c r="AE1320" s="2570"/>
    </row>
    <row r="1321" spans="1:41" customFormat="1" ht="51">
      <c r="A1321" s="1886"/>
      <c r="B1321" s="1886"/>
      <c r="C1321" s="1089">
        <v>3</v>
      </c>
      <c r="D1321" s="1089" t="s">
        <v>107</v>
      </c>
      <c r="E1321" s="1089" t="s">
        <v>66</v>
      </c>
      <c r="F1321" s="1089">
        <v>20</v>
      </c>
      <c r="G1321" s="1089" t="s">
        <v>197</v>
      </c>
      <c r="H1321" s="1089"/>
      <c r="I1321" s="1886" t="s">
        <v>1483</v>
      </c>
      <c r="J1321" s="1886" t="s">
        <v>1484</v>
      </c>
      <c r="K1321" s="1886">
        <v>9600</v>
      </c>
      <c r="L1321" s="1886">
        <f>1350000000+1400000000+1500000000+1550000000+1600000000+1700000000</f>
        <v>9100000000</v>
      </c>
      <c r="M1321" s="1886">
        <v>1602</v>
      </c>
      <c r="N1321" s="1886">
        <f>357728600+338694000</f>
        <v>696422600</v>
      </c>
      <c r="O1321" s="1886">
        <v>1500</v>
      </c>
      <c r="P1321" s="1886">
        <f>[6]Sheet1!$D$67</f>
        <v>458379450</v>
      </c>
      <c r="Q1321" s="1886">
        <v>300</v>
      </c>
      <c r="R1321" s="1886">
        <f>[6]Sheet1!$E$67</f>
        <v>85476000</v>
      </c>
      <c r="S1321" s="1886">
        <f t="shared" si="366"/>
        <v>0</v>
      </c>
      <c r="T1321" s="1886">
        <v>0</v>
      </c>
      <c r="U1321" s="1886">
        <f t="shared" si="360"/>
        <v>0</v>
      </c>
      <c r="V1321" s="1886">
        <v>0</v>
      </c>
      <c r="W1321" s="1086">
        <f t="shared" si="367"/>
        <v>0</v>
      </c>
      <c r="X1321" s="1886">
        <v>0</v>
      </c>
      <c r="Y1321" s="1886">
        <f t="shared" si="368"/>
        <v>300</v>
      </c>
      <c r="Z1321" s="1886">
        <f t="shared" si="365"/>
        <v>85476000</v>
      </c>
      <c r="AA1321" s="1886">
        <f t="shared" si="369"/>
        <v>1902</v>
      </c>
      <c r="AB1321" s="1091">
        <f t="shared" si="357"/>
        <v>781898600</v>
      </c>
      <c r="AC1321" s="1091">
        <f t="shared" si="370"/>
        <v>19.8125</v>
      </c>
      <c r="AD1321" s="1092">
        <f>(AB1321/L1321)*100</f>
        <v>8.5922923076923077</v>
      </c>
      <c r="AE1321" s="2570"/>
    </row>
    <row r="1322" spans="1:41" customFormat="1" ht="51">
      <c r="A1322" s="1886"/>
      <c r="B1322" s="1886"/>
      <c r="C1322" s="1089"/>
      <c r="D1322" s="1089"/>
      <c r="E1322" s="1089"/>
      <c r="F1322" s="1089"/>
      <c r="G1322" s="1089"/>
      <c r="H1322" s="1089"/>
      <c r="I1322" s="1886" t="s">
        <v>1485</v>
      </c>
      <c r="J1322" s="1886" t="s">
        <v>1486</v>
      </c>
      <c r="K1322" s="1886">
        <v>45</v>
      </c>
      <c r="L1322" s="1886">
        <f>40000000+50000000+60000000+62500000+70000000+80000000</f>
        <v>362500000</v>
      </c>
      <c r="M1322" s="1886">
        <v>0</v>
      </c>
      <c r="N1322" s="1886">
        <v>0</v>
      </c>
      <c r="O1322" s="1886">
        <v>0</v>
      </c>
      <c r="P1322" s="1886">
        <v>0</v>
      </c>
      <c r="Q1322" s="1886">
        <v>0</v>
      </c>
      <c r="R1322" s="1886">
        <v>0</v>
      </c>
      <c r="S1322" s="1886">
        <v>0</v>
      </c>
      <c r="T1322" s="1886">
        <v>0</v>
      </c>
      <c r="U1322" s="1886">
        <v>0</v>
      </c>
      <c r="V1322" s="1886">
        <v>0</v>
      </c>
      <c r="W1322" s="1086">
        <v>0</v>
      </c>
      <c r="X1322" s="1886"/>
      <c r="Y1322" s="1886">
        <f t="shared" si="368"/>
        <v>0</v>
      </c>
      <c r="Z1322" s="1886"/>
      <c r="AA1322" s="1886">
        <f t="shared" si="369"/>
        <v>0</v>
      </c>
      <c r="AB1322" s="1091"/>
      <c r="AC1322" s="1091">
        <f t="shared" si="370"/>
        <v>0</v>
      </c>
      <c r="AD1322" s="1091"/>
      <c r="AE1322" s="2570"/>
    </row>
    <row r="1323" spans="1:41" customFormat="1" ht="61.5" customHeight="1">
      <c r="A1323" s="1886"/>
      <c r="B1323" s="1886"/>
      <c r="C1323" s="1089"/>
      <c r="D1323" s="1089"/>
      <c r="E1323" s="1089"/>
      <c r="F1323" s="1089"/>
      <c r="G1323" s="1089"/>
      <c r="H1323" s="1089"/>
      <c r="I1323" s="1886" t="s">
        <v>1487</v>
      </c>
      <c r="J1323" s="1886" t="s">
        <v>1488</v>
      </c>
      <c r="K1323" s="1886">
        <v>45</v>
      </c>
      <c r="L1323" s="1886">
        <f>40000000+50000000+60000000+65000000+70000000+80000000</f>
        <v>365000000</v>
      </c>
      <c r="M1323" s="1886">
        <v>0</v>
      </c>
      <c r="N1323" s="1886">
        <v>0</v>
      </c>
      <c r="O1323" s="1886">
        <v>0</v>
      </c>
      <c r="P1323" s="1886">
        <v>0</v>
      </c>
      <c r="Q1323" s="1886">
        <v>0</v>
      </c>
      <c r="R1323" s="1886">
        <v>0</v>
      </c>
      <c r="S1323" s="1886">
        <v>0</v>
      </c>
      <c r="T1323" s="1886">
        <v>0</v>
      </c>
      <c r="U1323" s="1886">
        <v>0</v>
      </c>
      <c r="V1323" s="1886">
        <v>0</v>
      </c>
      <c r="W1323" s="1086">
        <v>0</v>
      </c>
      <c r="X1323" s="1886"/>
      <c r="Y1323" s="1886">
        <f t="shared" si="368"/>
        <v>0</v>
      </c>
      <c r="Z1323" s="1886"/>
      <c r="AA1323" s="1886">
        <f t="shared" si="369"/>
        <v>0</v>
      </c>
      <c r="AB1323" s="1091"/>
      <c r="AC1323" s="1091">
        <f t="shared" si="370"/>
        <v>0</v>
      </c>
      <c r="AD1323" s="1091"/>
      <c r="AE1323" s="2570"/>
    </row>
    <row r="1324" spans="1:41" customFormat="1" ht="61.5" customHeight="1">
      <c r="A1324" s="1081">
        <v>2</v>
      </c>
      <c r="B1324" s="1081" t="s">
        <v>1489</v>
      </c>
      <c r="C1324" s="1089"/>
      <c r="D1324" s="1089"/>
      <c r="E1324" s="1089"/>
      <c r="F1324" s="1089"/>
      <c r="G1324" s="1089"/>
      <c r="H1324" s="1089"/>
      <c r="I1324" s="1886" t="s">
        <v>1490</v>
      </c>
      <c r="J1324" s="1886" t="s">
        <v>1491</v>
      </c>
      <c r="K1324" s="1886">
        <v>45</v>
      </c>
      <c r="L1324" s="1886">
        <f>90000000+100000000+110000000+111000000+120000000+135000000</f>
        <v>666000000</v>
      </c>
      <c r="M1324" s="1886">
        <v>42</v>
      </c>
      <c r="N1324" s="1886">
        <v>59563500</v>
      </c>
      <c r="O1324" s="1886">
        <v>0</v>
      </c>
      <c r="P1324" s="1886">
        <v>0</v>
      </c>
      <c r="Q1324" s="1886">
        <v>0</v>
      </c>
      <c r="R1324" s="1886">
        <v>0</v>
      </c>
      <c r="S1324" s="1886">
        <v>0</v>
      </c>
      <c r="T1324" s="1886">
        <v>0</v>
      </c>
      <c r="U1324" s="1886">
        <v>0</v>
      </c>
      <c r="V1324" s="1886">
        <v>0</v>
      </c>
      <c r="W1324" s="1086">
        <v>0</v>
      </c>
      <c r="X1324" s="1886">
        <v>0</v>
      </c>
      <c r="Y1324" s="1886">
        <f t="shared" si="368"/>
        <v>0</v>
      </c>
      <c r="Z1324" s="1886">
        <v>0</v>
      </c>
      <c r="AA1324" s="1886">
        <f t="shared" si="369"/>
        <v>42</v>
      </c>
      <c r="AB1324" s="1091">
        <f>+N1324+Z1324</f>
        <v>59563500</v>
      </c>
      <c r="AC1324" s="1091">
        <f t="shared" si="370"/>
        <v>93.333333333333329</v>
      </c>
      <c r="AD1324" s="1092">
        <f>(AB1324/L1324)*100</f>
        <v>8.9434684684684687</v>
      </c>
      <c r="AE1324" s="2570"/>
    </row>
    <row r="1325" spans="1:41" customFormat="1" ht="61.5" customHeight="1">
      <c r="A1325" s="1886"/>
      <c r="B1325" s="1886"/>
      <c r="C1325" s="1089"/>
      <c r="D1325" s="1089"/>
      <c r="E1325" s="1089"/>
      <c r="F1325" s="1089"/>
      <c r="G1325" s="1089"/>
      <c r="H1325" s="1089"/>
      <c r="I1325" s="1886" t="s">
        <v>1492</v>
      </c>
      <c r="J1325" s="1886" t="s">
        <v>1493</v>
      </c>
      <c r="K1325" s="1886">
        <v>45</v>
      </c>
      <c r="L1325" s="1886">
        <f>40000000+50000000+60000000+65000000+70000000+75000000</f>
        <v>360000000</v>
      </c>
      <c r="M1325" s="1886">
        <v>0</v>
      </c>
      <c r="N1325" s="1886">
        <v>0</v>
      </c>
      <c r="O1325" s="1886">
        <v>0</v>
      </c>
      <c r="P1325" s="1886">
        <v>0</v>
      </c>
      <c r="Q1325" s="1886">
        <v>0</v>
      </c>
      <c r="R1325" s="1886">
        <v>0</v>
      </c>
      <c r="S1325" s="1886">
        <v>0</v>
      </c>
      <c r="T1325" s="1886">
        <v>0</v>
      </c>
      <c r="U1325" s="1886">
        <v>0</v>
      </c>
      <c r="V1325" s="1886">
        <v>0</v>
      </c>
      <c r="W1325" s="1086">
        <v>0</v>
      </c>
      <c r="X1325" s="1886">
        <v>0</v>
      </c>
      <c r="Y1325" s="1886">
        <f t="shared" si="368"/>
        <v>0</v>
      </c>
      <c r="Z1325" s="1886"/>
      <c r="AA1325" s="1886">
        <f t="shared" si="369"/>
        <v>0</v>
      </c>
      <c r="AB1325" s="1091"/>
      <c r="AC1325" s="1091">
        <f t="shared" si="370"/>
        <v>0</v>
      </c>
      <c r="AD1325" s="1091"/>
      <c r="AE1325" s="2570"/>
    </row>
    <row r="1326" spans="1:41" customFormat="1" ht="25.5">
      <c r="A1326" s="1886"/>
      <c r="B1326" s="1886"/>
      <c r="C1326" s="1089">
        <v>3</v>
      </c>
      <c r="D1326" s="1089" t="s">
        <v>107</v>
      </c>
      <c r="E1326" s="1089" t="s">
        <v>66</v>
      </c>
      <c r="F1326" s="1089">
        <v>20</v>
      </c>
      <c r="G1326" s="1089" t="s">
        <v>155</v>
      </c>
      <c r="H1326" s="1089"/>
      <c r="I1326" s="1886" t="s">
        <v>1494</v>
      </c>
      <c r="J1326" s="1886" t="s">
        <v>1495</v>
      </c>
      <c r="K1326" s="1886">
        <v>6</v>
      </c>
      <c r="L1326" s="1886">
        <f>35000000+40000000+45000000+45500000+65000000+70000000</f>
        <v>300500000</v>
      </c>
      <c r="M1326" s="1886">
        <v>1</v>
      </c>
      <c r="N1326" s="1886">
        <f>65905200+31088400</f>
        <v>96993600</v>
      </c>
      <c r="O1326" s="1886">
        <v>1</v>
      </c>
      <c r="P1326" s="1886">
        <f>[6]Sheet1!$D$70</f>
        <v>16986500</v>
      </c>
      <c r="Q1326" s="1886">
        <f>R1326/P1326*100</f>
        <v>0</v>
      </c>
      <c r="R1326" s="1886">
        <f>[6]Sheet1!$E$70</f>
        <v>0</v>
      </c>
      <c r="S1326" s="1886">
        <f>T1326/P1326*100</f>
        <v>0</v>
      </c>
      <c r="T1326" s="1886">
        <v>0</v>
      </c>
      <c r="U1326" s="1886">
        <f>V1326/P1326*100</f>
        <v>0</v>
      </c>
      <c r="V1326" s="1886">
        <v>0</v>
      </c>
      <c r="W1326" s="1086">
        <f>X1326/P1326*100</f>
        <v>0</v>
      </c>
      <c r="X1326" s="1886">
        <v>0</v>
      </c>
      <c r="Y1326" s="1886">
        <f t="shared" si="368"/>
        <v>0</v>
      </c>
      <c r="Z1326" s="1886">
        <f t="shared" si="365"/>
        <v>0</v>
      </c>
      <c r="AA1326" s="1886">
        <f t="shared" si="369"/>
        <v>1</v>
      </c>
      <c r="AB1326" s="1091">
        <f t="shared" si="357"/>
        <v>96993600</v>
      </c>
      <c r="AC1326" s="1091">
        <f t="shared" si="370"/>
        <v>16.666666666666664</v>
      </c>
      <c r="AD1326" s="1092">
        <f>(AB1326/L1326)*100</f>
        <v>32.277404326123126</v>
      </c>
      <c r="AE1326" s="2570"/>
    </row>
    <row r="1327" spans="1:41" customFormat="1" ht="51">
      <c r="A1327" s="1886"/>
      <c r="B1327" s="1886"/>
      <c r="C1327" s="1089">
        <v>3</v>
      </c>
      <c r="D1327" s="1089" t="s">
        <v>107</v>
      </c>
      <c r="E1327" s="1089" t="s">
        <v>66</v>
      </c>
      <c r="F1327" s="1089">
        <v>20</v>
      </c>
      <c r="G1327" s="1089" t="s">
        <v>167</v>
      </c>
      <c r="H1327" s="1089"/>
      <c r="I1327" s="1886" t="s">
        <v>1496</v>
      </c>
      <c r="J1327" s="1886" t="s">
        <v>1497</v>
      </c>
      <c r="K1327" s="1886">
        <v>45</v>
      </c>
      <c r="L1327" s="1886">
        <f>40000000+42000000+47500000+48000000+60000000+70000000</f>
        <v>307500000</v>
      </c>
      <c r="M1327" s="1886">
        <v>45</v>
      </c>
      <c r="N1327" s="1886">
        <f>40045950+32538280</f>
        <v>72584230</v>
      </c>
      <c r="O1327" s="1886">
        <v>45</v>
      </c>
      <c r="P1327" s="1886">
        <f>[6]Sheet1!$D$73</f>
        <v>23362500</v>
      </c>
      <c r="Q1327" s="1886">
        <f t="shared" ref="Q1327:Q1328" si="371">R1327/P1327*100</f>
        <v>0</v>
      </c>
      <c r="R1327" s="1886">
        <f>[6]Sheet1!$E$73</f>
        <v>0</v>
      </c>
      <c r="S1327" s="1886">
        <f t="shared" si="366"/>
        <v>0</v>
      </c>
      <c r="T1327" s="1886">
        <v>0</v>
      </c>
      <c r="U1327" s="1886">
        <f t="shared" si="360"/>
        <v>0</v>
      </c>
      <c r="V1327" s="1886">
        <v>0</v>
      </c>
      <c r="W1327" s="1086">
        <f t="shared" si="367"/>
        <v>0</v>
      </c>
      <c r="X1327" s="1886">
        <v>0</v>
      </c>
      <c r="Y1327" s="1886">
        <f t="shared" si="368"/>
        <v>0</v>
      </c>
      <c r="Z1327" s="1886">
        <f t="shared" si="365"/>
        <v>0</v>
      </c>
      <c r="AA1327" s="1886">
        <f t="shared" si="369"/>
        <v>45</v>
      </c>
      <c r="AB1327" s="1091">
        <f t="shared" si="357"/>
        <v>72584230</v>
      </c>
      <c r="AC1327" s="1091">
        <f t="shared" si="370"/>
        <v>100</v>
      </c>
      <c r="AD1327" s="1092">
        <f>(AB1327/L1327)*100</f>
        <v>23.604627642276423</v>
      </c>
      <c r="AE1327" s="2570"/>
    </row>
    <row r="1328" spans="1:41" customFormat="1" ht="63" customHeight="1">
      <c r="A1328" s="1886"/>
      <c r="B1328" s="1886"/>
      <c r="C1328" s="1089">
        <v>3</v>
      </c>
      <c r="D1328" s="1089" t="s">
        <v>107</v>
      </c>
      <c r="E1328" s="1089" t="s">
        <v>66</v>
      </c>
      <c r="F1328" s="1089">
        <v>20</v>
      </c>
      <c r="G1328" s="1089" t="s">
        <v>163</v>
      </c>
      <c r="H1328" s="1089"/>
      <c r="I1328" s="1886" t="s">
        <v>1498</v>
      </c>
      <c r="J1328" s="1886" t="s">
        <v>1499</v>
      </c>
      <c r="K1328" s="1886">
        <v>45</v>
      </c>
      <c r="L1328" s="1886">
        <f>75000000+80000000+90000000+95000000+100000000+110000000</f>
        <v>550000000</v>
      </c>
      <c r="M1328" s="1886">
        <v>45</v>
      </c>
      <c r="N1328" s="1886">
        <f>51833500+54468550</f>
        <v>106302050</v>
      </c>
      <c r="O1328" s="1886">
        <v>45</v>
      </c>
      <c r="P1328" s="1886">
        <f>[6]Sheet1!$D$76</f>
        <v>21540500</v>
      </c>
      <c r="Q1328" s="1886">
        <f t="shared" si="371"/>
        <v>0</v>
      </c>
      <c r="R1328" s="1886">
        <f>[6]Sheet1!$E$76</f>
        <v>0</v>
      </c>
      <c r="S1328" s="1886">
        <f t="shared" si="366"/>
        <v>0</v>
      </c>
      <c r="T1328" s="1886">
        <f>'[7]juni 17'!$H$99</f>
        <v>0</v>
      </c>
      <c r="U1328" s="1886">
        <f t="shared" si="360"/>
        <v>0</v>
      </c>
      <c r="V1328" s="1886">
        <v>0</v>
      </c>
      <c r="W1328" s="1086">
        <f t="shared" si="367"/>
        <v>0</v>
      </c>
      <c r="X1328" s="1886">
        <v>0</v>
      </c>
      <c r="Y1328" s="1886">
        <f t="shared" si="368"/>
        <v>0</v>
      </c>
      <c r="Z1328" s="1886">
        <f t="shared" si="365"/>
        <v>0</v>
      </c>
      <c r="AA1328" s="1886">
        <f t="shared" si="369"/>
        <v>45</v>
      </c>
      <c r="AB1328" s="1091">
        <f t="shared" si="357"/>
        <v>106302050</v>
      </c>
      <c r="AC1328" s="1091">
        <f t="shared" si="370"/>
        <v>100</v>
      </c>
      <c r="AD1328" s="1092">
        <f>(AB1328/L1328)*100</f>
        <v>19.327645454545454</v>
      </c>
      <c r="AE1328" s="2570"/>
    </row>
    <row r="1329" spans="1:62" customFormat="1" ht="51">
      <c r="A1329" s="1886"/>
      <c r="B1329" s="1886"/>
      <c r="C1329" s="1089"/>
      <c r="D1329" s="1089"/>
      <c r="E1329" s="1089"/>
      <c r="F1329" s="1089"/>
      <c r="G1329" s="1089"/>
      <c r="H1329" s="1089"/>
      <c r="I1329" s="1886" t="s">
        <v>1500</v>
      </c>
      <c r="J1329" s="1886" t="s">
        <v>1501</v>
      </c>
      <c r="K1329" s="1886">
        <v>45</v>
      </c>
      <c r="L1329" s="1886">
        <f>35000000+40000000+45000000+45500000+65000000+70000000</f>
        <v>300500000</v>
      </c>
      <c r="M1329" s="1886">
        <v>0</v>
      </c>
      <c r="N1329" s="1886">
        <v>0</v>
      </c>
      <c r="O1329" s="1886">
        <v>0</v>
      </c>
      <c r="P1329" s="1886">
        <v>0</v>
      </c>
      <c r="Q1329" s="1886">
        <v>0</v>
      </c>
      <c r="R1329" s="1886">
        <v>0</v>
      </c>
      <c r="S1329" s="1886">
        <v>0</v>
      </c>
      <c r="T1329" s="1886">
        <v>0</v>
      </c>
      <c r="U1329" s="1886">
        <v>0</v>
      </c>
      <c r="V1329" s="1886">
        <v>0</v>
      </c>
      <c r="W1329" s="1086"/>
      <c r="X1329" s="1886"/>
      <c r="Y1329" s="1886">
        <f t="shared" si="368"/>
        <v>0</v>
      </c>
      <c r="Z1329" s="1886"/>
      <c r="AA1329" s="1886">
        <f t="shared" si="369"/>
        <v>0</v>
      </c>
      <c r="AB1329" s="1091"/>
      <c r="AC1329" s="1091">
        <f t="shared" si="370"/>
        <v>0</v>
      </c>
      <c r="AD1329" s="1091"/>
      <c r="AE1329" s="2570"/>
    </row>
    <row r="1330" spans="1:62" customFormat="1" ht="33.75" customHeight="1">
      <c r="A1330" s="1886"/>
      <c r="B1330" s="1886"/>
      <c r="C1330" s="1089"/>
      <c r="D1330" s="1089"/>
      <c r="E1330" s="1089"/>
      <c r="F1330" s="1089"/>
      <c r="G1330" s="1089"/>
      <c r="H1330" s="1089"/>
      <c r="I1330" s="1886" t="s">
        <v>1502</v>
      </c>
      <c r="J1330" s="1886" t="s">
        <v>1503</v>
      </c>
      <c r="K1330" s="1886">
        <v>240</v>
      </c>
      <c r="L1330" s="1886">
        <f>35000000+40000000+45000000+45500000+65000000+70000000</f>
        <v>300500000</v>
      </c>
      <c r="M1330" s="1886">
        <v>0</v>
      </c>
      <c r="N1330" s="1886">
        <v>0</v>
      </c>
      <c r="O1330" s="1886">
        <v>0</v>
      </c>
      <c r="P1330" s="1886">
        <v>0</v>
      </c>
      <c r="Q1330" s="1886">
        <v>0</v>
      </c>
      <c r="R1330" s="1886">
        <v>0</v>
      </c>
      <c r="S1330" s="1886">
        <v>0</v>
      </c>
      <c r="T1330" s="1886">
        <v>0</v>
      </c>
      <c r="U1330" s="1886">
        <v>0</v>
      </c>
      <c r="V1330" s="1886">
        <v>0</v>
      </c>
      <c r="W1330" s="1086"/>
      <c r="X1330" s="1886"/>
      <c r="Y1330" s="1886">
        <f t="shared" si="368"/>
        <v>0</v>
      </c>
      <c r="Z1330" s="1886"/>
      <c r="AA1330" s="1886">
        <f t="shared" si="369"/>
        <v>0</v>
      </c>
      <c r="AB1330" s="1091"/>
      <c r="AC1330" s="1091">
        <f t="shared" si="370"/>
        <v>0</v>
      </c>
      <c r="AD1330" s="1091"/>
      <c r="AE1330" s="2570"/>
    </row>
    <row r="1331" spans="1:62" customFormat="1" ht="55.5" customHeight="1">
      <c r="A1331" s="1886"/>
      <c r="B1331" s="1886"/>
      <c r="C1331" s="1089"/>
      <c r="D1331" s="1089"/>
      <c r="E1331" s="1089"/>
      <c r="F1331" s="1089"/>
      <c r="G1331" s="1089"/>
      <c r="H1331" s="1089"/>
      <c r="I1331" s="1886" t="s">
        <v>1504</v>
      </c>
      <c r="J1331" s="1886" t="s">
        <v>1505</v>
      </c>
      <c r="K1331" s="1886">
        <v>6</v>
      </c>
      <c r="L1331" s="1886">
        <f>30000000+36000000+40000000+42500000+50000000+60000000</f>
        <v>258500000</v>
      </c>
      <c r="M1331" s="1886">
        <v>0</v>
      </c>
      <c r="N1331" s="1886">
        <v>0</v>
      </c>
      <c r="O1331" s="1886">
        <v>0</v>
      </c>
      <c r="P1331" s="1886">
        <v>0</v>
      </c>
      <c r="Q1331" s="1886">
        <v>0</v>
      </c>
      <c r="R1331" s="1886">
        <v>0</v>
      </c>
      <c r="S1331" s="1886">
        <v>0</v>
      </c>
      <c r="T1331" s="1886">
        <v>0</v>
      </c>
      <c r="U1331" s="1886">
        <v>0</v>
      </c>
      <c r="V1331" s="1886">
        <v>0</v>
      </c>
      <c r="W1331" s="1086"/>
      <c r="X1331" s="1886"/>
      <c r="Y1331" s="1886">
        <f t="shared" si="368"/>
        <v>0</v>
      </c>
      <c r="Z1331" s="1886"/>
      <c r="AA1331" s="1886">
        <f t="shared" si="369"/>
        <v>0</v>
      </c>
      <c r="AB1331" s="1091"/>
      <c r="AC1331" s="1091">
        <f t="shared" si="370"/>
        <v>0</v>
      </c>
      <c r="AD1331" s="1091"/>
      <c r="AE1331" s="2570"/>
    </row>
    <row r="1332" spans="1:62" customFormat="1" ht="55.5" customHeight="1">
      <c r="A1332" s="1886"/>
      <c r="B1332" s="1886"/>
      <c r="C1332" s="1089"/>
      <c r="D1332" s="1089"/>
      <c r="E1332" s="1089"/>
      <c r="F1332" s="1089"/>
      <c r="G1332" s="1089"/>
      <c r="H1332" s="1089"/>
      <c r="I1332" s="1886" t="s">
        <v>1506</v>
      </c>
      <c r="J1332" s="1886" t="s">
        <v>1507</v>
      </c>
      <c r="K1332" s="1886">
        <v>45</v>
      </c>
      <c r="L1332" s="1886">
        <f>40000000+50000000+60000000+65000000+70000000+80000000</f>
        <v>365000000</v>
      </c>
      <c r="M1332" s="1886">
        <v>0</v>
      </c>
      <c r="N1332" s="1886">
        <v>0</v>
      </c>
      <c r="O1332" s="1886">
        <v>0</v>
      </c>
      <c r="P1332" s="1886">
        <v>0</v>
      </c>
      <c r="Q1332" s="1886">
        <v>0</v>
      </c>
      <c r="R1332" s="1886">
        <v>0</v>
      </c>
      <c r="S1332" s="1886">
        <v>0</v>
      </c>
      <c r="T1332" s="1886">
        <v>0</v>
      </c>
      <c r="U1332" s="1886"/>
      <c r="V1332" s="1886"/>
      <c r="W1332" s="1086"/>
      <c r="X1332" s="1886"/>
      <c r="Y1332" s="1886">
        <f t="shared" si="368"/>
        <v>0</v>
      </c>
      <c r="Z1332" s="1886"/>
      <c r="AA1332" s="1886">
        <f t="shared" si="369"/>
        <v>0</v>
      </c>
      <c r="AB1332" s="1091"/>
      <c r="AC1332" s="1091">
        <f t="shared" si="370"/>
        <v>0</v>
      </c>
      <c r="AD1332" s="1091"/>
      <c r="AE1332" s="2570"/>
    </row>
    <row r="1333" spans="1:62" customFormat="1" ht="25.5">
      <c r="A1333" s="1886"/>
      <c r="B1333" s="1886"/>
      <c r="C1333" s="1089">
        <v>3</v>
      </c>
      <c r="D1333" s="1089" t="s">
        <v>107</v>
      </c>
      <c r="E1333" s="1089" t="s">
        <v>66</v>
      </c>
      <c r="F1333" s="1089">
        <v>20</v>
      </c>
      <c r="G1333" s="1089"/>
      <c r="H1333" s="1089"/>
      <c r="I1333" s="1886" t="s">
        <v>1508</v>
      </c>
      <c r="J1333" s="1886" t="s">
        <v>1509</v>
      </c>
      <c r="K1333" s="1886">
        <v>6</v>
      </c>
      <c r="L1333" s="1886">
        <f>40000000+45000000+50000000+60000000+65000000+70000000</f>
        <v>330000000</v>
      </c>
      <c r="M1333" s="1886">
        <v>2</v>
      </c>
      <c r="N1333" s="1886">
        <v>37431700</v>
      </c>
      <c r="O1333" s="1886">
        <v>0</v>
      </c>
      <c r="P1333" s="1886">
        <v>0</v>
      </c>
      <c r="Q1333" s="1886">
        <v>0</v>
      </c>
      <c r="R1333" s="1886">
        <v>0</v>
      </c>
      <c r="S1333" s="1886">
        <v>0</v>
      </c>
      <c r="T1333" s="1886">
        <v>0</v>
      </c>
      <c r="U1333" s="1886">
        <v>0</v>
      </c>
      <c r="V1333" s="1886">
        <v>0</v>
      </c>
      <c r="W1333" s="1086">
        <v>0</v>
      </c>
      <c r="X1333" s="1886">
        <v>0</v>
      </c>
      <c r="Y1333" s="1886">
        <f t="shared" si="368"/>
        <v>0</v>
      </c>
      <c r="Z1333" s="1886">
        <v>0</v>
      </c>
      <c r="AA1333" s="1886">
        <f t="shared" si="369"/>
        <v>2</v>
      </c>
      <c r="AB1333" s="1091">
        <f t="shared" ref="AB1333" si="372">+N1333+Z1333</f>
        <v>37431700</v>
      </c>
      <c r="AC1333" s="1091">
        <f t="shared" si="370"/>
        <v>33.333333333333329</v>
      </c>
      <c r="AD1333" s="1092">
        <f>(AB1333/L1333)*100</f>
        <v>11.342939393939394</v>
      </c>
      <c r="AE1333" s="2570"/>
    </row>
    <row r="1334" spans="1:62" customFormat="1" ht="38.25">
      <c r="A1334" s="1886"/>
      <c r="B1334" s="1886"/>
      <c r="C1334" s="1089"/>
      <c r="D1334" s="1089"/>
      <c r="E1334" s="1089"/>
      <c r="F1334" s="1089"/>
      <c r="G1334" s="1089"/>
      <c r="H1334" s="1089"/>
      <c r="I1334" s="1886" t="s">
        <v>1510</v>
      </c>
      <c r="J1334" s="1886" t="s">
        <v>1511</v>
      </c>
      <c r="K1334" s="1886">
        <v>45</v>
      </c>
      <c r="L1334" s="1886">
        <f>40000000+45000000+50000000+60000000+65000000+70000000</f>
        <v>330000000</v>
      </c>
      <c r="M1334" s="1886">
        <v>0</v>
      </c>
      <c r="N1334" s="1886">
        <v>0</v>
      </c>
      <c r="O1334" s="1886">
        <v>0</v>
      </c>
      <c r="P1334" s="1886">
        <v>0</v>
      </c>
      <c r="Q1334" s="1886">
        <v>0</v>
      </c>
      <c r="R1334" s="1886">
        <v>0</v>
      </c>
      <c r="S1334" s="1886"/>
      <c r="T1334" s="1886"/>
      <c r="U1334" s="1886"/>
      <c r="V1334" s="1886"/>
      <c r="W1334" s="1086"/>
      <c r="X1334" s="1886"/>
      <c r="Y1334" s="1886">
        <f t="shared" si="368"/>
        <v>0</v>
      </c>
      <c r="Z1334" s="1886"/>
      <c r="AA1334" s="1886">
        <f t="shared" si="369"/>
        <v>0</v>
      </c>
      <c r="AB1334" s="1091"/>
      <c r="AC1334" s="1091">
        <f t="shared" si="370"/>
        <v>0</v>
      </c>
      <c r="AD1334" s="1091"/>
      <c r="AE1334" s="2570"/>
    </row>
    <row r="1335" spans="1:62" customFormat="1" ht="15">
      <c r="A1335" s="1886"/>
      <c r="B1335" s="1886"/>
      <c r="C1335" s="1090"/>
      <c r="D1335" s="1089"/>
      <c r="E1335" s="1089"/>
      <c r="F1335" s="1090"/>
      <c r="G1335" s="1089"/>
      <c r="H1335" s="1089"/>
      <c r="I1335" s="1886"/>
      <c r="J1335" s="1886"/>
      <c r="K1335" s="1886"/>
      <c r="L1335" s="1886"/>
      <c r="M1335" s="1886"/>
      <c r="N1335" s="1886"/>
      <c r="O1335" s="1886"/>
      <c r="P1335" s="1886"/>
      <c r="Q1335" s="1886"/>
      <c r="R1335" s="1886"/>
      <c r="S1335" s="1886"/>
      <c r="T1335" s="1886"/>
      <c r="U1335" s="1886"/>
      <c r="V1335" s="1886"/>
      <c r="W1335" s="1886"/>
      <c r="X1335" s="1886"/>
      <c r="Y1335" s="1886"/>
      <c r="Z1335" s="1086"/>
      <c r="AA1335" s="1886"/>
      <c r="AB1335" s="1081"/>
      <c r="AC1335" s="1081"/>
      <c r="AD1335" s="1081"/>
      <c r="AE1335" s="2570"/>
    </row>
    <row r="1336" spans="1:62" customFormat="1" ht="91.5" customHeight="1">
      <c r="A1336" s="1086"/>
      <c r="B1336" s="1086"/>
      <c r="C1336" s="1094">
        <v>3</v>
      </c>
      <c r="D1336" s="1094" t="s">
        <v>107</v>
      </c>
      <c r="E1336" s="1094" t="s">
        <v>66</v>
      </c>
      <c r="F1336" s="1094">
        <v>21</v>
      </c>
      <c r="G1336" s="1095"/>
      <c r="H1336" s="1095"/>
      <c r="I1336" s="1086" t="s">
        <v>1512</v>
      </c>
      <c r="J1336" s="1096"/>
      <c r="K1336" s="1097">
        <f>(K1337+K1338)/2</f>
        <v>42</v>
      </c>
      <c r="L1336" s="1097">
        <f>SUM(L1337:L1338)</f>
        <v>2160000000</v>
      </c>
      <c r="M1336" s="1097">
        <f>(M1337+M1338)/2</f>
        <v>14</v>
      </c>
      <c r="N1336" s="1086">
        <f>N1337+N1338</f>
        <v>505735350</v>
      </c>
      <c r="O1336" s="1097">
        <f>(O1337+O1338)/2</f>
        <v>7</v>
      </c>
      <c r="P1336" s="1086">
        <f>SUM(P1337:P1338)</f>
        <v>228549000</v>
      </c>
      <c r="Q1336" s="1097">
        <f>(Q1337+Q1338)/2</f>
        <v>2</v>
      </c>
      <c r="R1336" s="1086">
        <f>SUM(R1337:R1339)</f>
        <v>46313051</v>
      </c>
      <c r="S1336" s="1086">
        <f>T1336/P1336*100</f>
        <v>0</v>
      </c>
      <c r="T1336" s="1086">
        <f>SUM(T1337:T1339)</f>
        <v>0</v>
      </c>
      <c r="U1336" s="1086">
        <f>V1336/P1336*100</f>
        <v>0</v>
      </c>
      <c r="V1336" s="1086">
        <f>SUM(V1337:V1339)</f>
        <v>0</v>
      </c>
      <c r="W1336" s="1086">
        <f>X1336/P1336*100</f>
        <v>0</v>
      </c>
      <c r="X1336" s="1086">
        <f>SUM(X1337:X1338)</f>
        <v>0</v>
      </c>
      <c r="Y1336" s="1086">
        <f>Q1336+S1336+U1336+W1336</f>
        <v>2</v>
      </c>
      <c r="Z1336" s="1086">
        <f>+R1336+T1336+V1336+X1336</f>
        <v>46313051</v>
      </c>
      <c r="AA1336" s="1086">
        <f>+Y1336+M1336</f>
        <v>16</v>
      </c>
      <c r="AB1336" s="1081">
        <f>+N1336+Z1336</f>
        <v>552048401</v>
      </c>
      <c r="AC1336" s="1081">
        <f>(AC1337+AC1338)/2</f>
        <v>36.111111111111114</v>
      </c>
      <c r="AD1336" s="1087">
        <f t="shared" ref="AC1336:AD1338" si="373">(AB1336/L1336)*100</f>
        <v>25.557796342592592</v>
      </c>
      <c r="AE1336" s="2570"/>
    </row>
    <row r="1337" spans="1:62" customFormat="1" ht="61.5" customHeight="1">
      <c r="A1337" s="1886"/>
      <c r="B1337" s="1886"/>
      <c r="C1337" s="1089">
        <v>3</v>
      </c>
      <c r="D1337" s="1089" t="s">
        <v>107</v>
      </c>
      <c r="E1337" s="1089" t="s">
        <v>66</v>
      </c>
      <c r="F1337" s="1089">
        <v>21</v>
      </c>
      <c r="G1337" s="1089" t="s">
        <v>66</v>
      </c>
      <c r="H1337" s="1089"/>
      <c r="I1337" s="1104" t="s">
        <v>1513</v>
      </c>
      <c r="J1337" s="1091" t="s">
        <v>1514</v>
      </c>
      <c r="K1337" s="1886">
        <v>72</v>
      </c>
      <c r="L1337" s="1886">
        <f>225000000+250000000+275000000+300000000+325000000+350000000</f>
        <v>1725000000</v>
      </c>
      <c r="M1337" s="1886">
        <v>24</v>
      </c>
      <c r="N1337" s="1886">
        <f>228743500+217239850</f>
        <v>445983350</v>
      </c>
      <c r="O1337" s="1886">
        <v>12</v>
      </c>
      <c r="P1337" s="1886">
        <f>[6]Sheet1!$D$81</f>
        <v>199785000</v>
      </c>
      <c r="Q1337" s="1886">
        <v>4</v>
      </c>
      <c r="R1337" s="1886">
        <f>[6]Sheet1!$E$81</f>
        <v>46313051</v>
      </c>
      <c r="S1337" s="1886">
        <f t="shared" ref="S1337:S1338" si="374">T1337/P1337*100</f>
        <v>0</v>
      </c>
      <c r="T1337" s="1886">
        <v>0</v>
      </c>
      <c r="U1337" s="1886">
        <f t="shared" ref="U1337:U1338" si="375">V1337/P1337*100</f>
        <v>0</v>
      </c>
      <c r="V1337" s="1886">
        <v>0</v>
      </c>
      <c r="W1337" s="1886">
        <f>X1337/P1337*100</f>
        <v>0</v>
      </c>
      <c r="X1337" s="1886">
        <v>0</v>
      </c>
      <c r="Y1337" s="1886">
        <f>Q1337+S1337+U1337+W1337</f>
        <v>4</v>
      </c>
      <c r="Z1337" s="1886">
        <f>+R1337+T1337+V1337+X1337</f>
        <v>46313051</v>
      </c>
      <c r="AA1337" s="1886">
        <f>+Y1337+M1337</f>
        <v>28</v>
      </c>
      <c r="AB1337" s="1091">
        <f>+N1337+Z1337</f>
        <v>492296401</v>
      </c>
      <c r="AC1337" s="1091">
        <f t="shared" si="373"/>
        <v>38.888888888888893</v>
      </c>
      <c r="AD1337" s="1092">
        <f t="shared" si="373"/>
        <v>28.538921797101452</v>
      </c>
      <c r="AE1337" s="2570"/>
    </row>
    <row r="1338" spans="1:62" customFormat="1" ht="53.25" customHeight="1">
      <c r="A1338" s="1886"/>
      <c r="B1338" s="1886"/>
      <c r="C1338" s="1089">
        <v>3</v>
      </c>
      <c r="D1338" s="1089" t="s">
        <v>107</v>
      </c>
      <c r="E1338" s="1089" t="s">
        <v>66</v>
      </c>
      <c r="F1338" s="1089">
        <v>21</v>
      </c>
      <c r="G1338" s="1089" t="s">
        <v>196</v>
      </c>
      <c r="H1338" s="1089"/>
      <c r="I1338" s="1104" t="s">
        <v>1515</v>
      </c>
      <c r="J1338" s="1091" t="s">
        <v>1516</v>
      </c>
      <c r="K1338" s="1886">
        <v>12</v>
      </c>
      <c r="L1338" s="1886">
        <f>60000000+65000000+70000000+75000000+80000000+85000000</f>
        <v>435000000</v>
      </c>
      <c r="M1338" s="1886">
        <v>4</v>
      </c>
      <c r="N1338" s="1886">
        <f>34704000+25048000</f>
        <v>59752000</v>
      </c>
      <c r="O1338" s="1886">
        <v>2</v>
      </c>
      <c r="P1338" s="1886">
        <f>[6]Sheet1!$D$84</f>
        <v>28764000</v>
      </c>
      <c r="Q1338" s="1886">
        <f t="shared" ref="Q1338" si="376">R1338/P1338*100</f>
        <v>0</v>
      </c>
      <c r="R1338" s="1886">
        <f>[6]Sheet1!$E$84</f>
        <v>0</v>
      </c>
      <c r="S1338" s="1886">
        <f t="shared" si="374"/>
        <v>0</v>
      </c>
      <c r="T1338" s="1886">
        <f>'[7]juni 17'!$H$112</f>
        <v>0</v>
      </c>
      <c r="U1338" s="1886">
        <f t="shared" si="375"/>
        <v>0</v>
      </c>
      <c r="V1338" s="1886">
        <f>'[7]Sept 17'!$H$116</f>
        <v>0</v>
      </c>
      <c r="W1338" s="1886">
        <f>X1338/P1338*100</f>
        <v>0</v>
      </c>
      <c r="X1338" s="1886">
        <v>0</v>
      </c>
      <c r="Y1338" s="1886">
        <f>Q1338+S1338+U1338+W1338</f>
        <v>0</v>
      </c>
      <c r="Z1338" s="1886">
        <f>+R1338+T1338+V1338+X1338</f>
        <v>0</v>
      </c>
      <c r="AA1338" s="1886">
        <f>+Y1338+M1338</f>
        <v>4</v>
      </c>
      <c r="AB1338" s="1091">
        <f>+N1338+Z1338</f>
        <v>59752000</v>
      </c>
      <c r="AC1338" s="1091">
        <f t="shared" si="373"/>
        <v>33.333333333333329</v>
      </c>
      <c r="AD1338" s="1092">
        <f t="shared" si="373"/>
        <v>13.736091954022989</v>
      </c>
      <c r="AE1338" s="2571"/>
    </row>
    <row r="1339" spans="1:62" customFormat="1" ht="15" customHeight="1">
      <c r="A1339" s="1886"/>
      <c r="B1339" s="1886"/>
      <c r="C1339" s="1089"/>
      <c r="D1339" s="1089"/>
      <c r="E1339" s="1089"/>
      <c r="F1339" s="1089"/>
      <c r="G1339" s="1089"/>
      <c r="H1339" s="1089"/>
      <c r="I1339" s="1104"/>
      <c r="J1339" s="1104"/>
      <c r="K1339" s="1886"/>
      <c r="L1339" s="1886"/>
      <c r="M1339" s="1886"/>
      <c r="N1339" s="1886"/>
      <c r="O1339" s="1886"/>
      <c r="P1339" s="1886"/>
      <c r="Q1339" s="1886"/>
      <c r="R1339" s="1886"/>
      <c r="S1339" s="1886"/>
      <c r="T1339" s="1886"/>
      <c r="U1339" s="1886"/>
      <c r="V1339" s="1886"/>
      <c r="W1339" s="1886"/>
      <c r="X1339" s="1886"/>
      <c r="Y1339" s="1886"/>
      <c r="Z1339" s="1886"/>
      <c r="AA1339" s="1886"/>
      <c r="AB1339" s="1091"/>
      <c r="AC1339" s="1091" t="s">
        <v>228</v>
      </c>
      <c r="AD1339" s="1091"/>
      <c r="AE1339" s="1105"/>
      <c r="AG1339" s="2572" t="s">
        <v>89</v>
      </c>
      <c r="AH1339" s="2572"/>
      <c r="AI1339" s="2573"/>
      <c r="AJ1339" s="2573"/>
      <c r="AK1339" s="2573"/>
      <c r="AL1339" s="2573"/>
      <c r="AM1339" s="2573"/>
      <c r="AN1339" s="2573"/>
      <c r="AO1339" s="2573"/>
      <c r="AP1339" s="2573"/>
      <c r="AQ1339" s="2573"/>
      <c r="AR1339" s="2573"/>
      <c r="AS1339" s="2573"/>
      <c r="AT1339" s="2573"/>
      <c r="AU1339" s="2573"/>
      <c r="AV1339" s="2573"/>
      <c r="AW1339" s="2573"/>
      <c r="AX1339" s="2573"/>
      <c r="AY1339" s="2573"/>
      <c r="AZ1339" s="2573"/>
      <c r="BA1339" s="2573"/>
      <c r="BB1339" s="2573"/>
      <c r="BC1339" s="2573"/>
      <c r="BD1339" s="2573"/>
      <c r="BE1339" s="2573"/>
      <c r="BF1339" s="2573"/>
      <c r="BG1339" s="2573"/>
      <c r="BH1339" s="20">
        <f>AVERAGE(AD1319:AD1350)</f>
        <v>48.15897767950451</v>
      </c>
      <c r="BI1339" s="20">
        <f>BG1340/AU1340*100</f>
        <v>260.71428571428572</v>
      </c>
      <c r="BJ1339" s="981"/>
    </row>
    <row r="1340" spans="1:62" customFormat="1" ht="15" customHeight="1">
      <c r="A1340" s="2316" t="s">
        <v>89</v>
      </c>
      <c r="B1340" s="2316"/>
      <c r="C1340" s="2317"/>
      <c r="D1340" s="2317"/>
      <c r="E1340" s="2317"/>
      <c r="F1340" s="2317"/>
      <c r="G1340" s="2317"/>
      <c r="H1340" s="2317"/>
      <c r="I1340" s="2317"/>
      <c r="J1340" s="2317"/>
      <c r="K1340" s="2317"/>
      <c r="L1340" s="2317"/>
      <c r="M1340" s="2317"/>
      <c r="N1340" s="2317"/>
      <c r="O1340" s="2317"/>
      <c r="P1340" s="2317"/>
      <c r="Q1340" s="2317"/>
      <c r="R1340" s="2317"/>
      <c r="S1340" s="2317"/>
      <c r="T1340" s="2317"/>
      <c r="U1340" s="2317"/>
      <c r="V1340" s="2317"/>
      <c r="W1340" s="2317"/>
      <c r="X1340" s="2317"/>
      <c r="Y1340" s="2317"/>
      <c r="Z1340" s="2317"/>
      <c r="AA1340" s="2317"/>
      <c r="AB1340" s="2317"/>
      <c r="AC1340" s="1106">
        <f>AVERAGE(AC1336+AC1317+AC1302+AC1288)</f>
        <v>103.7659621901195</v>
      </c>
      <c r="AD1340" s="1107">
        <f>AB1342/P1342*100</f>
        <v>214.79997116905039</v>
      </c>
      <c r="AE1340" s="1108"/>
      <c r="AG1340" s="2574" t="s">
        <v>100</v>
      </c>
      <c r="AH1340" s="2574"/>
      <c r="AI1340" s="2574"/>
      <c r="AJ1340" s="2574"/>
      <c r="AK1340" s="2574"/>
      <c r="AL1340" s="2574"/>
      <c r="AM1340" s="2574"/>
      <c r="AN1340" s="2574"/>
      <c r="AO1340" s="2574"/>
      <c r="AP1340" s="2574"/>
      <c r="AQ1340" s="2574"/>
      <c r="AR1340" s="2574"/>
      <c r="AS1340" s="2574"/>
      <c r="AT1340" s="2574"/>
      <c r="AU1340" s="30">
        <f>Q1319+Q1330+Q1335+Q1347</f>
        <v>10</v>
      </c>
      <c r="AV1340" s="2575"/>
      <c r="AW1340" s="2575"/>
      <c r="AX1340" s="2575"/>
      <c r="AY1340" s="2575"/>
      <c r="AZ1340" s="2575"/>
      <c r="BA1340" s="2575"/>
      <c r="BB1340" s="2575"/>
      <c r="BC1340" s="2575"/>
      <c r="BD1340" s="2575"/>
      <c r="BE1340" s="2575"/>
      <c r="BF1340" s="2575"/>
      <c r="BG1340" s="30">
        <f>AC1347+AC1335+AC1330+AC1319</f>
        <v>26.071428571428573</v>
      </c>
      <c r="BH1340" s="1109"/>
      <c r="BI1340" s="1109"/>
      <c r="BJ1340" s="1109"/>
    </row>
    <row r="1341" spans="1:62" customFormat="1" ht="15" customHeight="1">
      <c r="A1341" s="2316" t="s">
        <v>90</v>
      </c>
      <c r="B1341" s="2316"/>
      <c r="C1341" s="2317"/>
      <c r="D1341" s="2317"/>
      <c r="E1341" s="2317"/>
      <c r="F1341" s="2317"/>
      <c r="G1341" s="2317"/>
      <c r="H1341" s="2317"/>
      <c r="I1341" s="2317"/>
      <c r="J1341" s="2317"/>
      <c r="K1341" s="2317"/>
      <c r="L1341" s="2317"/>
      <c r="M1341" s="2317"/>
      <c r="N1341" s="2317"/>
      <c r="O1341" s="2317"/>
      <c r="P1341" s="2317"/>
      <c r="Q1341" s="2317"/>
      <c r="R1341" s="2317"/>
      <c r="S1341" s="2317"/>
      <c r="T1341" s="2317"/>
      <c r="U1341" s="2317"/>
      <c r="V1341" s="2317"/>
      <c r="W1341" s="2317"/>
      <c r="X1341" s="2317"/>
      <c r="Y1341" s="2317"/>
      <c r="Z1341" s="2317"/>
      <c r="AA1341" s="2317"/>
      <c r="AB1341" s="2317"/>
      <c r="AC1341" s="1110" t="str">
        <f t="shared" ref="AC1341" si="377">IF(AC1340&gt;=45,"ST",IF(AC1340&gt;=38,"T",IF(AC1340&gt;=32,"S",IF(AC1340&gt;=25,"R","SR"))))</f>
        <v>ST</v>
      </c>
      <c r="AD1341" s="1111" t="str">
        <f>IF(AD1340&gt;=45,"ST",IF(AD1340&gt;=38,"T",IF(AD1340&gt;=32,"S",IF(AD1340&gt;=25,"R","SR"))))</f>
        <v>ST</v>
      </c>
      <c r="AE1341" s="1108"/>
    </row>
    <row r="1342" spans="1:62" customFormat="1" ht="15" customHeight="1">
      <c r="A1342" s="2566" t="s">
        <v>100</v>
      </c>
      <c r="B1342" s="2566"/>
      <c r="C1342" s="2566"/>
      <c r="D1342" s="2566"/>
      <c r="E1342" s="2566"/>
      <c r="F1342" s="2566"/>
      <c r="G1342" s="2566"/>
      <c r="H1342" s="2566"/>
      <c r="I1342" s="2566"/>
      <c r="J1342" s="2566"/>
      <c r="K1342" s="2566"/>
      <c r="L1342" s="2566"/>
      <c r="M1342" s="2566"/>
      <c r="N1342" s="2566"/>
      <c r="O1342" s="2566"/>
      <c r="P1342" s="1112">
        <f>+P1336+P1317+P1315+P1311+P1302+P1288</f>
        <v>3246219817</v>
      </c>
      <c r="Q1342" s="2556"/>
      <c r="R1342" s="2556"/>
      <c r="S1342" s="2556"/>
      <c r="T1342" s="2556"/>
      <c r="U1342" s="2556"/>
      <c r="V1342" s="2556"/>
      <c r="W1342" s="2556"/>
      <c r="X1342" s="2556"/>
      <c r="Y1342" s="2556"/>
      <c r="Z1342" s="2556"/>
      <c r="AA1342" s="2556"/>
      <c r="AB1342" s="1112">
        <f>+AB1336+AB1317+AB1315+AB1311+AB1302+AB1288</f>
        <v>6972879231</v>
      </c>
      <c r="AC1342" s="1113"/>
      <c r="AD1342" s="1113"/>
      <c r="AE1342" s="1113"/>
    </row>
    <row r="1343" spans="1:62" customFormat="1" ht="15">
      <c r="A1343" s="2567" t="s">
        <v>1517</v>
      </c>
      <c r="B1343" s="2567"/>
      <c r="C1343" s="2567"/>
      <c r="D1343" s="2567"/>
      <c r="E1343" s="2567"/>
      <c r="F1343" s="2567"/>
      <c r="G1343" s="2567"/>
      <c r="H1343" s="2567"/>
      <c r="I1343" s="2567"/>
      <c r="J1343" s="2567"/>
      <c r="K1343" s="2567"/>
      <c r="L1343" s="2567"/>
      <c r="M1343" s="2567"/>
      <c r="N1343" s="2567"/>
      <c r="O1343" s="2567"/>
      <c r="P1343" s="2567"/>
      <c r="Q1343" s="2567"/>
      <c r="R1343" s="2567"/>
      <c r="S1343" s="2567"/>
      <c r="T1343" s="2567"/>
      <c r="U1343" s="2567"/>
      <c r="V1343" s="2567"/>
      <c r="W1343" s="2567"/>
      <c r="X1343" s="2567"/>
      <c r="Y1343" s="2567"/>
      <c r="Z1343" s="2567"/>
      <c r="AA1343" s="2567"/>
      <c r="AB1343" s="2567"/>
      <c r="AC1343" s="2567"/>
      <c r="AD1343" s="2567"/>
      <c r="AE1343" s="2567"/>
    </row>
    <row r="1344" spans="1:62" customFormat="1" ht="15">
      <c r="A1344" s="2567" t="s">
        <v>1518</v>
      </c>
      <c r="B1344" s="2567"/>
      <c r="C1344" s="2567"/>
      <c r="D1344" s="2567"/>
      <c r="E1344" s="2567"/>
      <c r="F1344" s="2567"/>
      <c r="G1344" s="2567"/>
      <c r="H1344" s="2567"/>
      <c r="I1344" s="2567"/>
      <c r="J1344" s="2567"/>
      <c r="K1344" s="2567"/>
      <c r="L1344" s="2567"/>
      <c r="M1344" s="2567"/>
      <c r="N1344" s="2567"/>
      <c r="O1344" s="2567"/>
      <c r="P1344" s="2567"/>
      <c r="Q1344" s="2567"/>
      <c r="R1344" s="2567"/>
      <c r="S1344" s="2567"/>
      <c r="T1344" s="2567"/>
      <c r="U1344" s="2567"/>
      <c r="V1344" s="2567"/>
      <c r="W1344" s="2567"/>
      <c r="X1344" s="2567"/>
      <c r="Y1344" s="2567"/>
      <c r="Z1344" s="2567"/>
      <c r="AA1344" s="2567"/>
      <c r="AB1344" s="2567"/>
      <c r="AC1344" s="2567"/>
      <c r="AD1344" s="2567"/>
      <c r="AE1344" s="2567"/>
    </row>
    <row r="1345" spans="1:31" customFormat="1" ht="15">
      <c r="A1345" s="2568" t="s">
        <v>1519</v>
      </c>
      <c r="B1345" s="2568"/>
      <c r="C1345" s="2568"/>
      <c r="D1345" s="2568"/>
      <c r="E1345" s="2568"/>
      <c r="F1345" s="2568"/>
      <c r="G1345" s="2568"/>
      <c r="H1345" s="2568"/>
      <c r="I1345" s="2568"/>
      <c r="J1345" s="2568"/>
      <c r="K1345" s="2568"/>
      <c r="L1345" s="2568"/>
      <c r="M1345" s="2568"/>
      <c r="N1345" s="2568"/>
      <c r="O1345" s="2568"/>
      <c r="P1345" s="2568"/>
      <c r="Q1345" s="2568"/>
      <c r="R1345" s="2568"/>
      <c r="S1345" s="2568"/>
      <c r="T1345" s="2568"/>
      <c r="U1345" s="2568"/>
      <c r="V1345" s="2568"/>
      <c r="W1345" s="2568"/>
      <c r="X1345" s="2568"/>
      <c r="Y1345" s="2568"/>
      <c r="Z1345" s="2568"/>
      <c r="AA1345" s="2568"/>
      <c r="AB1345" s="2568"/>
      <c r="AC1345" s="2568"/>
      <c r="AD1345" s="2568"/>
      <c r="AE1345" s="2568"/>
    </row>
    <row r="1346" spans="1:31" ht="58.5" customHeight="1">
      <c r="A1346" s="64"/>
      <c r="B1346" s="755"/>
      <c r="C1346" s="64"/>
      <c r="D1346" s="64"/>
      <c r="E1346" s="64"/>
      <c r="F1346" s="64"/>
      <c r="G1346" s="64"/>
      <c r="H1346" s="64"/>
      <c r="I1346" s="754"/>
      <c r="J1346" s="756"/>
      <c r="K1346" s="64"/>
      <c r="L1346" s="64"/>
      <c r="M1346" s="64"/>
      <c r="N1346" s="64"/>
      <c r="O1346" s="64"/>
      <c r="P1346" s="64"/>
      <c r="Q1346" s="64"/>
      <c r="R1346" s="64"/>
      <c r="S1346" s="64"/>
      <c r="T1346" s="64"/>
      <c r="U1346" s="64"/>
      <c r="V1346" s="64"/>
      <c r="W1346" s="64"/>
      <c r="X1346" s="64"/>
      <c r="Y1346" s="729"/>
      <c r="Z1346" s="64"/>
      <c r="AA1346" s="64"/>
      <c r="AB1346" s="64"/>
      <c r="AC1346" s="64"/>
      <c r="AD1346" s="64"/>
      <c r="AE1346" s="64"/>
    </row>
    <row r="1347" spans="1:31" s="69" customFormat="1" ht="24.75" customHeight="1">
      <c r="A1347" s="67">
        <v>32</v>
      </c>
      <c r="B1347" s="1080"/>
      <c r="C1347" s="67"/>
      <c r="D1347" s="67"/>
      <c r="E1347" s="67"/>
      <c r="F1347" s="67"/>
      <c r="G1347" s="67"/>
      <c r="H1347" s="67"/>
      <c r="I1347" s="68" t="s">
        <v>219</v>
      </c>
      <c r="J1347" s="67"/>
      <c r="K1347" s="67"/>
      <c r="L1347" s="67"/>
      <c r="M1347" s="67"/>
      <c r="N1347" s="67"/>
      <c r="O1347" s="67"/>
      <c r="P1347" s="67"/>
      <c r="Q1347" s="67"/>
      <c r="R1347" s="67"/>
      <c r="S1347" s="67"/>
      <c r="T1347" s="67"/>
      <c r="U1347" s="67"/>
      <c r="V1347" s="67"/>
      <c r="W1347" s="67"/>
      <c r="X1347" s="67"/>
      <c r="Y1347" s="366"/>
      <c r="Z1347" s="67"/>
      <c r="AA1347" s="67"/>
      <c r="AB1347" s="67"/>
      <c r="AC1347" s="67"/>
      <c r="AD1347" s="67"/>
      <c r="AE1347" s="67"/>
    </row>
    <row r="1348" spans="1:31" ht="18" customHeight="1">
      <c r="A1348" s="64"/>
      <c r="B1348" s="64"/>
      <c r="C1348" s="64"/>
      <c r="D1348" s="64"/>
      <c r="E1348" s="64"/>
      <c r="F1348" s="64"/>
      <c r="G1348" s="64"/>
      <c r="H1348" s="64"/>
      <c r="I1348" s="64"/>
      <c r="J1348" s="64"/>
      <c r="K1348" s="64"/>
      <c r="L1348" s="64"/>
      <c r="M1348" s="64"/>
      <c r="N1348" s="64"/>
      <c r="O1348" s="64"/>
      <c r="P1348" s="64"/>
      <c r="Q1348" s="64"/>
      <c r="R1348" s="64"/>
      <c r="S1348" s="64"/>
      <c r="T1348" s="64"/>
      <c r="U1348" s="64"/>
      <c r="V1348" s="64"/>
      <c r="W1348" s="64"/>
      <c r="X1348" s="64"/>
      <c r="Y1348" s="729"/>
      <c r="Z1348" s="64"/>
      <c r="AA1348" s="64"/>
      <c r="AB1348" s="64"/>
      <c r="AC1348" s="64"/>
      <c r="AD1348" s="64"/>
      <c r="AE1348" s="64"/>
    </row>
    <row r="1349" spans="1:31" s="69" customFormat="1" ht="24.75" customHeight="1">
      <c r="A1349" s="67">
        <v>33</v>
      </c>
      <c r="B1349" s="67"/>
      <c r="C1349" s="67"/>
      <c r="D1349" s="67"/>
      <c r="E1349" s="67"/>
      <c r="F1349" s="67"/>
      <c r="G1349" s="67"/>
      <c r="H1349" s="67"/>
      <c r="I1349" s="68" t="s">
        <v>220</v>
      </c>
      <c r="J1349" s="67"/>
      <c r="K1349" s="67"/>
      <c r="L1349" s="67"/>
      <c r="M1349" s="67"/>
      <c r="N1349" s="67"/>
      <c r="O1349" s="67"/>
      <c r="P1349" s="67"/>
      <c r="Q1349" s="67"/>
      <c r="R1349" s="67"/>
      <c r="S1349" s="67"/>
      <c r="T1349" s="67"/>
      <c r="U1349" s="67"/>
      <c r="V1349" s="67"/>
      <c r="W1349" s="67"/>
      <c r="X1349" s="67"/>
      <c r="Y1349" s="366"/>
      <c r="Z1349" s="67"/>
      <c r="AA1349" s="67"/>
      <c r="AB1349" s="67"/>
      <c r="AC1349" s="67"/>
      <c r="AD1349" s="67"/>
      <c r="AE1349" s="67"/>
    </row>
    <row r="1350" spans="1:31" ht="22.5" customHeight="1">
      <c r="A1350" s="2592" t="s">
        <v>222</v>
      </c>
      <c r="B1350" s="2593"/>
      <c r="C1350" s="2593"/>
      <c r="D1350" s="2593"/>
      <c r="E1350" s="2593"/>
      <c r="F1350" s="2593"/>
      <c r="G1350" s="2593"/>
      <c r="H1350" s="2593"/>
      <c r="I1350" s="2593"/>
      <c r="J1350" s="2593"/>
      <c r="K1350" s="2593"/>
      <c r="L1350" s="2593"/>
      <c r="M1350" s="2593"/>
      <c r="N1350" s="2593"/>
      <c r="O1350" s="2593"/>
      <c r="P1350" s="2593"/>
      <c r="Q1350" s="2593"/>
      <c r="R1350" s="2593"/>
      <c r="S1350" s="2593"/>
      <c r="T1350" s="2593"/>
      <c r="U1350" s="2593"/>
      <c r="V1350" s="2593"/>
      <c r="W1350" s="2593"/>
      <c r="X1350" s="2593"/>
      <c r="Y1350" s="2593"/>
      <c r="Z1350" s="2593"/>
      <c r="AA1350" s="2593"/>
      <c r="AB1350" s="2593"/>
      <c r="AC1350" s="2593"/>
      <c r="AD1350" s="2593"/>
      <c r="AE1350" s="2594"/>
    </row>
    <row r="1351" spans="1:31" s="616" customFormat="1" ht="81.75" customHeight="1">
      <c r="A1351" s="2191" t="s">
        <v>66</v>
      </c>
      <c r="B1351" s="2262" t="s">
        <v>2821</v>
      </c>
      <c r="C1351" s="2191">
        <v>3</v>
      </c>
      <c r="D1351" s="2191" t="s">
        <v>107</v>
      </c>
      <c r="E1351" s="2191" t="s">
        <v>196</v>
      </c>
      <c r="F1351" s="2191" t="s">
        <v>66</v>
      </c>
      <c r="G1351" s="2191"/>
      <c r="H1351" s="2191"/>
      <c r="I1351" s="2192" t="s">
        <v>221</v>
      </c>
      <c r="J1351" s="1374"/>
      <c r="K1351" s="2193"/>
      <c r="L1351" s="2194">
        <f>L1352+L1353+L1354+L1355+L1356+L1357+L1358+L1359+L1360+L1361+L1362</f>
        <v>9596926960</v>
      </c>
      <c r="M1351" s="2195"/>
      <c r="N1351" s="2196">
        <f>N1352+N1353+N1354+N1355+N1356+N1357+N1358+N1359+N1360+N1361+N1362+N1363</f>
        <v>2241606193</v>
      </c>
      <c r="O1351" s="2197"/>
      <c r="P1351" s="2198">
        <f>P1352+P1353+P1354+P1355+P1356+P1357+P1358+P1359+P1360+P1361+P1362</f>
        <v>1529446675</v>
      </c>
      <c r="Q1351" s="2195"/>
      <c r="R1351" s="2199">
        <f>R1352+R1353+R1354+R1355+R1356+R1357+R1358+R1359+R1360+R1361+R1362+R1363</f>
        <v>161531792</v>
      </c>
      <c r="S1351" s="2199"/>
      <c r="T1351" s="2199"/>
      <c r="U1351" s="2199"/>
      <c r="V1351" s="2199"/>
      <c r="W1351" s="2199"/>
      <c r="X1351" s="2199"/>
      <c r="Y1351" s="2195"/>
      <c r="Z1351" s="2200">
        <f>R1351</f>
        <v>161531792</v>
      </c>
      <c r="AA1351" s="2201"/>
      <c r="AB1351" s="2200">
        <f>AB1352+AB1353+AB1354+AB1355+AB1356+AB1357+AB1358+AB1359+AB1360+AB1361+AB1362+AB1363</f>
        <v>2403137985</v>
      </c>
      <c r="AC1351" s="2202"/>
      <c r="AD1351" s="2203"/>
      <c r="AE1351" s="2203"/>
    </row>
    <row r="1352" spans="1:31" s="385" customFormat="1" ht="60.75" customHeight="1">
      <c r="A1352" s="1781"/>
      <c r="B1352" s="2192"/>
      <c r="C1352" s="2191">
        <v>3</v>
      </c>
      <c r="D1352" s="2191" t="s">
        <v>107</v>
      </c>
      <c r="E1352" s="2191" t="s">
        <v>196</v>
      </c>
      <c r="F1352" s="2191" t="s">
        <v>66</v>
      </c>
      <c r="G1352" s="1781" t="s">
        <v>65</v>
      </c>
      <c r="H1352" s="1781"/>
      <c r="I1352" s="1762" t="s">
        <v>1521</v>
      </c>
      <c r="J1352" s="1385" t="s">
        <v>2822</v>
      </c>
      <c r="K1352" s="2205">
        <v>72</v>
      </c>
      <c r="L1352" s="2186">
        <v>1032900000</v>
      </c>
      <c r="M1352" s="2205">
        <v>24</v>
      </c>
      <c r="N1352" s="2208">
        <v>287896053</v>
      </c>
      <c r="O1352" s="2205">
        <v>12</v>
      </c>
      <c r="P1352" s="2186">
        <v>167400000</v>
      </c>
      <c r="Q1352" s="2205">
        <v>3</v>
      </c>
      <c r="R1352" s="2186">
        <v>42712654</v>
      </c>
      <c r="S1352" s="2186">
        <v>0</v>
      </c>
      <c r="T1352" s="2186">
        <v>0</v>
      </c>
      <c r="U1352" s="2186">
        <v>0</v>
      </c>
      <c r="V1352" s="2186">
        <v>0</v>
      </c>
      <c r="W1352" s="2186">
        <v>0</v>
      </c>
      <c r="X1352" s="2186">
        <v>0</v>
      </c>
      <c r="Y1352" s="2205">
        <f>Q1352</f>
        <v>3</v>
      </c>
      <c r="Z1352" s="2186">
        <f>R1352</f>
        <v>42712654</v>
      </c>
      <c r="AA1352" s="2205">
        <f t="shared" ref="AA1352:AB1363" si="378">M1352+Y1352</f>
        <v>27</v>
      </c>
      <c r="AB1352" s="2209">
        <f t="shared" si="378"/>
        <v>330608707</v>
      </c>
      <c r="AC1352" s="2210">
        <f t="shared" ref="AC1352:AD1362" si="379">AA1352/K1352*100%</f>
        <v>0.375</v>
      </c>
      <c r="AD1352" s="2210">
        <f t="shared" si="379"/>
        <v>0.32007813631522897</v>
      </c>
      <c r="AE1352" s="2207" t="s">
        <v>222</v>
      </c>
    </row>
    <row r="1353" spans="1:31" s="385" customFormat="1" ht="78" customHeight="1">
      <c r="A1353" s="1781"/>
      <c r="B1353" s="2211"/>
      <c r="C1353" s="2191">
        <v>3</v>
      </c>
      <c r="D1353" s="2191" t="s">
        <v>107</v>
      </c>
      <c r="E1353" s="2191" t="s">
        <v>196</v>
      </c>
      <c r="F1353" s="2191" t="s">
        <v>66</v>
      </c>
      <c r="G1353" s="1781" t="s">
        <v>198</v>
      </c>
      <c r="H1353" s="1781"/>
      <c r="I1353" s="1762" t="s">
        <v>1287</v>
      </c>
      <c r="J1353" s="1385" t="s">
        <v>2823</v>
      </c>
      <c r="K1353" s="2204">
        <v>72</v>
      </c>
      <c r="L1353" s="2186">
        <v>4152757712</v>
      </c>
      <c r="M1353" s="2205">
        <v>24</v>
      </c>
      <c r="N1353" s="2208">
        <v>461759940</v>
      </c>
      <c r="O1353" s="2205">
        <v>12</v>
      </c>
      <c r="P1353" s="2186">
        <v>841996200</v>
      </c>
      <c r="Q1353" s="2205">
        <v>3</v>
      </c>
      <c r="R1353" s="2186">
        <v>30434566</v>
      </c>
      <c r="S1353" s="2186">
        <v>0</v>
      </c>
      <c r="T1353" s="2186">
        <v>0</v>
      </c>
      <c r="U1353" s="2186">
        <v>0</v>
      </c>
      <c r="V1353" s="2186">
        <v>0</v>
      </c>
      <c r="W1353" s="2186">
        <v>0</v>
      </c>
      <c r="X1353" s="2186">
        <v>0</v>
      </c>
      <c r="Y1353" s="2205">
        <v>3</v>
      </c>
      <c r="Z1353" s="2186">
        <f t="shared" ref="Z1353:Z1429" si="380">R1353</f>
        <v>30434566</v>
      </c>
      <c r="AA1353" s="2205">
        <f t="shared" si="378"/>
        <v>27</v>
      </c>
      <c r="AB1353" s="2209">
        <f t="shared" si="378"/>
        <v>492194506</v>
      </c>
      <c r="AC1353" s="2210">
        <f t="shared" si="379"/>
        <v>0.375</v>
      </c>
      <c r="AD1353" s="2210">
        <f t="shared" si="379"/>
        <v>0.11852232664037492</v>
      </c>
      <c r="AE1353" s="2207" t="s">
        <v>222</v>
      </c>
    </row>
    <row r="1354" spans="1:31" s="385" customFormat="1" ht="56.25" customHeight="1">
      <c r="A1354" s="1781"/>
      <c r="B1354" s="2211"/>
      <c r="C1354" s="2191">
        <v>3</v>
      </c>
      <c r="D1354" s="2191" t="s">
        <v>107</v>
      </c>
      <c r="E1354" s="2191" t="s">
        <v>196</v>
      </c>
      <c r="F1354" s="2191" t="s">
        <v>66</v>
      </c>
      <c r="G1354" s="1781" t="s">
        <v>93</v>
      </c>
      <c r="H1354" s="1781"/>
      <c r="I1354" s="1762" t="s">
        <v>149</v>
      </c>
      <c r="J1354" s="1385" t="s">
        <v>2824</v>
      </c>
      <c r="K1354" s="2204">
        <v>72</v>
      </c>
      <c r="L1354" s="2186">
        <v>957500000</v>
      </c>
      <c r="M1354" s="2205">
        <v>24</v>
      </c>
      <c r="N1354" s="2208">
        <v>287010570</v>
      </c>
      <c r="O1354" s="2205">
        <v>12</v>
      </c>
      <c r="P1354" s="2186">
        <v>152250000</v>
      </c>
      <c r="Q1354" s="2205">
        <v>3</v>
      </c>
      <c r="R1354" s="2186">
        <v>0</v>
      </c>
      <c r="S1354" s="2186">
        <v>0</v>
      </c>
      <c r="T1354" s="2186">
        <v>0</v>
      </c>
      <c r="U1354" s="2186">
        <v>0</v>
      </c>
      <c r="V1354" s="2186">
        <v>0</v>
      </c>
      <c r="W1354" s="2186">
        <v>0</v>
      </c>
      <c r="X1354" s="2186">
        <v>0</v>
      </c>
      <c r="Y1354" s="2205">
        <f>Q1354</f>
        <v>3</v>
      </c>
      <c r="Z1354" s="2186">
        <f t="shared" si="380"/>
        <v>0</v>
      </c>
      <c r="AA1354" s="2205">
        <f t="shared" si="378"/>
        <v>27</v>
      </c>
      <c r="AB1354" s="2209">
        <f t="shared" si="378"/>
        <v>287010570</v>
      </c>
      <c r="AC1354" s="2210">
        <f t="shared" si="379"/>
        <v>0.375</v>
      </c>
      <c r="AD1354" s="2210">
        <f t="shared" si="379"/>
        <v>0.29974994255874676</v>
      </c>
      <c r="AE1354" s="2207" t="s">
        <v>222</v>
      </c>
    </row>
    <row r="1355" spans="1:31" s="385" customFormat="1" ht="57.75" customHeight="1">
      <c r="A1355" s="1781"/>
      <c r="B1355" s="2211"/>
      <c r="C1355" s="2191">
        <v>3</v>
      </c>
      <c r="D1355" s="2191" t="s">
        <v>107</v>
      </c>
      <c r="E1355" s="2191" t="s">
        <v>196</v>
      </c>
      <c r="F1355" s="2191" t="s">
        <v>66</v>
      </c>
      <c r="G1355" s="1523">
        <v>10</v>
      </c>
      <c r="H1355" s="1523"/>
      <c r="I1355" s="1762" t="s">
        <v>1529</v>
      </c>
      <c r="J1355" s="1385" t="s">
        <v>2825</v>
      </c>
      <c r="K1355" s="2204">
        <v>72</v>
      </c>
      <c r="L1355" s="2186">
        <v>320908386</v>
      </c>
      <c r="M1355" s="2205">
        <v>24</v>
      </c>
      <c r="N1355" s="2186">
        <v>109499082</v>
      </c>
      <c r="O1355" s="2205">
        <v>12</v>
      </c>
      <c r="P1355" s="2186">
        <v>31898768</v>
      </c>
      <c r="Q1355" s="2205">
        <v>3</v>
      </c>
      <c r="R1355" s="2186">
        <v>1695300</v>
      </c>
      <c r="S1355" s="2186">
        <v>0</v>
      </c>
      <c r="T1355" s="2186">
        <v>0</v>
      </c>
      <c r="U1355" s="2186">
        <v>0</v>
      </c>
      <c r="V1355" s="2186">
        <v>0</v>
      </c>
      <c r="W1355" s="2186">
        <v>0</v>
      </c>
      <c r="X1355" s="2186">
        <v>0</v>
      </c>
      <c r="Y1355" s="2205">
        <f t="shared" ref="Y1355:Y1429" si="381">Q1355</f>
        <v>3</v>
      </c>
      <c r="Z1355" s="2186">
        <f t="shared" si="380"/>
        <v>1695300</v>
      </c>
      <c r="AA1355" s="2205">
        <f t="shared" si="378"/>
        <v>27</v>
      </c>
      <c r="AB1355" s="2209">
        <f t="shared" si="378"/>
        <v>111194382</v>
      </c>
      <c r="AC1355" s="2210">
        <f t="shared" si="379"/>
        <v>0.375</v>
      </c>
      <c r="AD1355" s="2210">
        <f t="shared" si="379"/>
        <v>0.34649883534050119</v>
      </c>
      <c r="AE1355" s="2207" t="s">
        <v>222</v>
      </c>
    </row>
    <row r="1356" spans="1:31" s="385" customFormat="1" ht="64.5" customHeight="1">
      <c r="A1356" s="1781"/>
      <c r="B1356" s="2211"/>
      <c r="C1356" s="2191">
        <v>3</v>
      </c>
      <c r="D1356" s="2191" t="s">
        <v>107</v>
      </c>
      <c r="E1356" s="2191" t="s">
        <v>196</v>
      </c>
      <c r="F1356" s="2191" t="s">
        <v>66</v>
      </c>
      <c r="G1356" s="1523">
        <v>11</v>
      </c>
      <c r="H1356" s="1523"/>
      <c r="I1356" s="1762" t="s">
        <v>2826</v>
      </c>
      <c r="J1356" s="1385" t="s">
        <v>2827</v>
      </c>
      <c r="K1356" s="2204">
        <v>72</v>
      </c>
      <c r="L1356" s="2186">
        <v>243141229</v>
      </c>
      <c r="M1356" s="2205">
        <v>24</v>
      </c>
      <c r="N1356" s="2186">
        <v>79200836</v>
      </c>
      <c r="O1356" s="2205">
        <v>12</v>
      </c>
      <c r="P1356" s="2186">
        <v>34130530</v>
      </c>
      <c r="Q1356" s="2205">
        <v>3</v>
      </c>
      <c r="R1356" s="2186">
        <v>2475000</v>
      </c>
      <c r="S1356" s="2186">
        <v>0</v>
      </c>
      <c r="T1356" s="2186">
        <v>0</v>
      </c>
      <c r="U1356" s="2186">
        <v>0</v>
      </c>
      <c r="V1356" s="2186">
        <v>0</v>
      </c>
      <c r="W1356" s="2186">
        <v>0</v>
      </c>
      <c r="X1356" s="2186">
        <v>0</v>
      </c>
      <c r="Y1356" s="2205">
        <f t="shared" si="381"/>
        <v>3</v>
      </c>
      <c r="Z1356" s="2186">
        <f t="shared" si="380"/>
        <v>2475000</v>
      </c>
      <c r="AA1356" s="2205">
        <f t="shared" si="378"/>
        <v>27</v>
      </c>
      <c r="AB1356" s="2209">
        <f t="shared" si="378"/>
        <v>81675836</v>
      </c>
      <c r="AC1356" s="2210">
        <f t="shared" si="379"/>
        <v>0.375</v>
      </c>
      <c r="AD1356" s="2210">
        <f t="shared" si="379"/>
        <v>0.33591931872648384</v>
      </c>
      <c r="AE1356" s="2207" t="s">
        <v>222</v>
      </c>
    </row>
    <row r="1357" spans="1:31" s="385" customFormat="1" ht="65.25" customHeight="1">
      <c r="A1357" s="1781"/>
      <c r="B1357" s="2211"/>
      <c r="C1357" s="2191">
        <v>3</v>
      </c>
      <c r="D1357" s="2191" t="s">
        <v>107</v>
      </c>
      <c r="E1357" s="2191" t="s">
        <v>196</v>
      </c>
      <c r="F1357" s="2191" t="s">
        <v>66</v>
      </c>
      <c r="G1357" s="1523">
        <v>12</v>
      </c>
      <c r="H1357" s="1523"/>
      <c r="I1357" s="1762" t="s">
        <v>2828</v>
      </c>
      <c r="J1357" s="1385" t="s">
        <v>2829</v>
      </c>
      <c r="K1357" s="2204">
        <v>72</v>
      </c>
      <c r="L1357" s="2186">
        <v>131754000</v>
      </c>
      <c r="M1357" s="2205">
        <v>24</v>
      </c>
      <c r="N1357" s="2186">
        <v>26495020</v>
      </c>
      <c r="O1357" s="2205">
        <v>12</v>
      </c>
      <c r="P1357" s="2186">
        <v>14850000</v>
      </c>
      <c r="Q1357" s="2205">
        <v>3</v>
      </c>
      <c r="R1357" s="2186">
        <v>7451000</v>
      </c>
      <c r="S1357" s="2186">
        <v>0</v>
      </c>
      <c r="T1357" s="2186">
        <v>0</v>
      </c>
      <c r="U1357" s="2186">
        <v>0</v>
      </c>
      <c r="V1357" s="2186">
        <v>0</v>
      </c>
      <c r="W1357" s="2186">
        <v>0</v>
      </c>
      <c r="X1357" s="2186">
        <v>0</v>
      </c>
      <c r="Y1357" s="2205">
        <v>3</v>
      </c>
      <c r="Z1357" s="2186">
        <f t="shared" si="380"/>
        <v>7451000</v>
      </c>
      <c r="AA1357" s="2205">
        <f t="shared" si="378"/>
        <v>27</v>
      </c>
      <c r="AB1357" s="2209">
        <f t="shared" si="378"/>
        <v>33946020</v>
      </c>
      <c r="AC1357" s="2210">
        <f t="shared" si="379"/>
        <v>0.375</v>
      </c>
      <c r="AD1357" s="2210">
        <f t="shared" si="379"/>
        <v>0.25764697845985701</v>
      </c>
      <c r="AE1357" s="2207" t="s">
        <v>222</v>
      </c>
    </row>
    <row r="1358" spans="1:31" s="385" customFormat="1" ht="59.25" customHeight="1">
      <c r="A1358" s="1781"/>
      <c r="B1358" s="2211"/>
      <c r="C1358" s="2191">
        <v>3</v>
      </c>
      <c r="D1358" s="2191" t="s">
        <v>107</v>
      </c>
      <c r="E1358" s="2191" t="s">
        <v>196</v>
      </c>
      <c r="F1358" s="2191" t="s">
        <v>66</v>
      </c>
      <c r="G1358" s="1523">
        <v>15</v>
      </c>
      <c r="H1358" s="1523"/>
      <c r="I1358" s="1762" t="s">
        <v>2830</v>
      </c>
      <c r="J1358" s="1385" t="s">
        <v>2831</v>
      </c>
      <c r="K1358" s="2204">
        <v>72</v>
      </c>
      <c r="L1358" s="2186">
        <v>123740000</v>
      </c>
      <c r="M1358" s="2205">
        <v>24</v>
      </c>
      <c r="N1358" s="2186">
        <v>14390000</v>
      </c>
      <c r="O1358" s="2205">
        <v>12</v>
      </c>
      <c r="P1358" s="2186">
        <v>13900000</v>
      </c>
      <c r="Q1358" s="2205">
        <v>3</v>
      </c>
      <c r="R1358" s="2186">
        <v>680000</v>
      </c>
      <c r="S1358" s="2186">
        <v>0</v>
      </c>
      <c r="T1358" s="2186">
        <v>0</v>
      </c>
      <c r="U1358" s="2186">
        <v>0</v>
      </c>
      <c r="V1358" s="2186">
        <v>0</v>
      </c>
      <c r="W1358" s="2186">
        <v>0</v>
      </c>
      <c r="X1358" s="2186">
        <v>0</v>
      </c>
      <c r="Y1358" s="2205">
        <f t="shared" si="381"/>
        <v>3</v>
      </c>
      <c r="Z1358" s="2186">
        <f t="shared" si="380"/>
        <v>680000</v>
      </c>
      <c r="AA1358" s="2205">
        <f t="shared" si="378"/>
        <v>27</v>
      </c>
      <c r="AB1358" s="2209">
        <f t="shared" si="378"/>
        <v>15070000</v>
      </c>
      <c r="AC1358" s="2210">
        <f t="shared" si="379"/>
        <v>0.375</v>
      </c>
      <c r="AD1358" s="2210">
        <f t="shared" si="379"/>
        <v>0.12178761920155164</v>
      </c>
      <c r="AE1358" s="2207" t="s">
        <v>222</v>
      </c>
    </row>
    <row r="1359" spans="1:31" s="385" customFormat="1" ht="57" customHeight="1">
      <c r="A1359" s="1781"/>
      <c r="B1359" s="2211"/>
      <c r="C1359" s="2191">
        <v>3</v>
      </c>
      <c r="D1359" s="2191" t="s">
        <v>107</v>
      </c>
      <c r="E1359" s="2191" t="s">
        <v>196</v>
      </c>
      <c r="F1359" s="2191" t="s">
        <v>66</v>
      </c>
      <c r="G1359" s="1523">
        <v>17</v>
      </c>
      <c r="H1359" s="1523"/>
      <c r="I1359" s="1762" t="s">
        <v>223</v>
      </c>
      <c r="J1359" s="1385" t="s">
        <v>2832</v>
      </c>
      <c r="K1359" s="2204">
        <v>72</v>
      </c>
      <c r="L1359" s="2186">
        <v>408485000</v>
      </c>
      <c r="M1359" s="2205">
        <v>24</v>
      </c>
      <c r="N1359" s="2186">
        <v>126600450</v>
      </c>
      <c r="O1359" s="2205">
        <v>12</v>
      </c>
      <c r="P1359" s="2186">
        <v>63475000</v>
      </c>
      <c r="Q1359" s="2205">
        <v>3</v>
      </c>
      <c r="R1359" s="2186">
        <v>8565200</v>
      </c>
      <c r="S1359" s="2186">
        <v>0</v>
      </c>
      <c r="T1359" s="2186">
        <v>0</v>
      </c>
      <c r="U1359" s="2186">
        <v>0</v>
      </c>
      <c r="V1359" s="2186">
        <v>0</v>
      </c>
      <c r="W1359" s="2186">
        <v>0</v>
      </c>
      <c r="X1359" s="2186">
        <v>0</v>
      </c>
      <c r="Y1359" s="2205">
        <f t="shared" si="381"/>
        <v>3</v>
      </c>
      <c r="Z1359" s="2186">
        <f t="shared" si="380"/>
        <v>8565200</v>
      </c>
      <c r="AA1359" s="2205">
        <f t="shared" si="378"/>
        <v>27</v>
      </c>
      <c r="AB1359" s="2209">
        <f t="shared" si="378"/>
        <v>135165650</v>
      </c>
      <c r="AC1359" s="2210">
        <f t="shared" si="379"/>
        <v>0.375</v>
      </c>
      <c r="AD1359" s="2210">
        <f t="shared" si="379"/>
        <v>0.33089501450481656</v>
      </c>
      <c r="AE1359" s="2207" t="s">
        <v>222</v>
      </c>
    </row>
    <row r="1360" spans="1:31" s="385" customFormat="1" ht="57.75" customHeight="1">
      <c r="A1360" s="1781"/>
      <c r="B1360" s="2211"/>
      <c r="C1360" s="2191">
        <v>3</v>
      </c>
      <c r="D1360" s="2191" t="s">
        <v>107</v>
      </c>
      <c r="E1360" s="2191" t="s">
        <v>196</v>
      </c>
      <c r="F1360" s="2191" t="s">
        <v>66</v>
      </c>
      <c r="G1360" s="1523">
        <v>18</v>
      </c>
      <c r="H1360" s="1523"/>
      <c r="I1360" s="1762" t="s">
        <v>2833</v>
      </c>
      <c r="J1360" s="1385" t="s">
        <v>2834</v>
      </c>
      <c r="K1360" s="2204">
        <v>72</v>
      </c>
      <c r="L1360" s="2186">
        <v>1329898900</v>
      </c>
      <c r="M1360" s="2205">
        <v>24</v>
      </c>
      <c r="N1360" s="2186">
        <v>572719419</v>
      </c>
      <c r="O1360" s="2205">
        <v>12</v>
      </c>
      <c r="P1360" s="2186">
        <v>126594700</v>
      </c>
      <c r="Q1360" s="2205">
        <v>3</v>
      </c>
      <c r="R1360" s="2186">
        <v>48368792</v>
      </c>
      <c r="S1360" s="2186">
        <v>0</v>
      </c>
      <c r="T1360" s="2186">
        <v>0</v>
      </c>
      <c r="U1360" s="2186">
        <v>0</v>
      </c>
      <c r="V1360" s="2186">
        <v>0</v>
      </c>
      <c r="W1360" s="2186">
        <v>0</v>
      </c>
      <c r="X1360" s="2186">
        <v>0</v>
      </c>
      <c r="Y1360" s="2205">
        <f t="shared" si="381"/>
        <v>3</v>
      </c>
      <c r="Z1360" s="2186">
        <f t="shared" si="380"/>
        <v>48368792</v>
      </c>
      <c r="AA1360" s="2205">
        <f t="shared" si="378"/>
        <v>27</v>
      </c>
      <c r="AB1360" s="2209">
        <f t="shared" si="378"/>
        <v>621088211</v>
      </c>
      <c r="AC1360" s="2210">
        <f t="shared" si="379"/>
        <v>0.375</v>
      </c>
      <c r="AD1360" s="2210">
        <f t="shared" si="379"/>
        <v>0.46701911776902738</v>
      </c>
      <c r="AE1360" s="2207" t="s">
        <v>222</v>
      </c>
    </row>
    <row r="1361" spans="1:31" s="385" customFormat="1" ht="63" customHeight="1">
      <c r="A1361" s="1781"/>
      <c r="B1361" s="2211"/>
      <c r="C1361" s="2191">
        <v>3</v>
      </c>
      <c r="D1361" s="2191" t="s">
        <v>107</v>
      </c>
      <c r="E1361" s="2191" t="s">
        <v>196</v>
      </c>
      <c r="F1361" s="2191" t="s">
        <v>66</v>
      </c>
      <c r="G1361" s="1523">
        <v>20</v>
      </c>
      <c r="H1361" s="1523"/>
      <c r="I1361" s="1762" t="s">
        <v>2835</v>
      </c>
      <c r="J1361" s="1385" t="s">
        <v>2836</v>
      </c>
      <c r="K1361" s="2204">
        <v>72</v>
      </c>
      <c r="L1361" s="2186">
        <v>313189600</v>
      </c>
      <c r="M1361" s="2205">
        <v>24</v>
      </c>
      <c r="N1361" s="2186">
        <v>134588874</v>
      </c>
      <c r="O1361" s="2205">
        <v>12</v>
      </c>
      <c r="P1361" s="2186">
        <v>47300000</v>
      </c>
      <c r="Q1361" s="2205">
        <v>3</v>
      </c>
      <c r="R1361" s="2186">
        <v>14347000</v>
      </c>
      <c r="S1361" s="2186">
        <v>0</v>
      </c>
      <c r="T1361" s="2186">
        <v>0</v>
      </c>
      <c r="U1361" s="2186">
        <v>0</v>
      </c>
      <c r="V1361" s="2186">
        <v>0</v>
      </c>
      <c r="W1361" s="2186">
        <v>0</v>
      </c>
      <c r="X1361" s="2186">
        <v>0</v>
      </c>
      <c r="Y1361" s="2205">
        <f t="shared" si="381"/>
        <v>3</v>
      </c>
      <c r="Z1361" s="2186">
        <f t="shared" si="380"/>
        <v>14347000</v>
      </c>
      <c r="AA1361" s="2205">
        <f t="shared" si="378"/>
        <v>27</v>
      </c>
      <c r="AB1361" s="2209">
        <f t="shared" si="378"/>
        <v>148935874</v>
      </c>
      <c r="AC1361" s="2210">
        <f t="shared" si="379"/>
        <v>0.375</v>
      </c>
      <c r="AD1361" s="2210">
        <f t="shared" si="379"/>
        <v>0.47554540125214884</v>
      </c>
      <c r="AE1361" s="2207" t="s">
        <v>222</v>
      </c>
    </row>
    <row r="1362" spans="1:31" s="385" customFormat="1" ht="78.75" customHeight="1">
      <c r="A1362" s="1781"/>
      <c r="B1362" s="2211"/>
      <c r="C1362" s="2191">
        <v>3</v>
      </c>
      <c r="D1362" s="2191" t="s">
        <v>107</v>
      </c>
      <c r="E1362" s="2191" t="s">
        <v>196</v>
      </c>
      <c r="F1362" s="2191" t="s">
        <v>66</v>
      </c>
      <c r="G1362" s="1523">
        <v>22</v>
      </c>
      <c r="H1362" s="1523"/>
      <c r="I1362" s="1762" t="s">
        <v>168</v>
      </c>
      <c r="J1362" s="1385" t="s">
        <v>2837</v>
      </c>
      <c r="K1362" s="2204">
        <v>72</v>
      </c>
      <c r="L1362" s="2186">
        <v>582652133</v>
      </c>
      <c r="M1362" s="2205">
        <v>24</v>
      </c>
      <c r="N1362" s="2186">
        <v>120861449</v>
      </c>
      <c r="O1362" s="2205">
        <v>12</v>
      </c>
      <c r="P1362" s="2186">
        <v>35651477</v>
      </c>
      <c r="Q1362" s="2205">
        <v>3</v>
      </c>
      <c r="R1362" s="2186">
        <v>4802280</v>
      </c>
      <c r="S1362" s="2186">
        <v>0</v>
      </c>
      <c r="T1362" s="2186">
        <v>0</v>
      </c>
      <c r="U1362" s="2186">
        <v>0</v>
      </c>
      <c r="V1362" s="2186">
        <v>0</v>
      </c>
      <c r="W1362" s="2186">
        <v>0</v>
      </c>
      <c r="X1362" s="2186">
        <v>0</v>
      </c>
      <c r="Y1362" s="2205">
        <f t="shared" si="381"/>
        <v>3</v>
      </c>
      <c r="Z1362" s="2186">
        <f t="shared" si="380"/>
        <v>4802280</v>
      </c>
      <c r="AA1362" s="2205">
        <f t="shared" si="378"/>
        <v>27</v>
      </c>
      <c r="AB1362" s="2209">
        <f t="shared" si="378"/>
        <v>125663729</v>
      </c>
      <c r="AC1362" s="2210">
        <f t="shared" si="379"/>
        <v>0.375</v>
      </c>
      <c r="AD1362" s="2210">
        <f t="shared" si="379"/>
        <v>0.21567539511607692</v>
      </c>
      <c r="AE1362" s="2207" t="s">
        <v>222</v>
      </c>
    </row>
    <row r="1363" spans="1:31" s="385" customFormat="1" ht="55.5" customHeight="1">
      <c r="A1363" s="1781"/>
      <c r="B1363" s="2211"/>
      <c r="C1363" s="2191"/>
      <c r="D1363" s="2191"/>
      <c r="E1363" s="2191"/>
      <c r="F1363" s="2191"/>
      <c r="G1363" s="1523"/>
      <c r="H1363" s="1523"/>
      <c r="I1363" s="1762" t="s">
        <v>2838</v>
      </c>
      <c r="J1363" s="1385" t="s">
        <v>2839</v>
      </c>
      <c r="K1363" s="2204"/>
      <c r="L1363" s="2186"/>
      <c r="M1363" s="2205">
        <v>1</v>
      </c>
      <c r="N1363" s="2186">
        <v>20584500</v>
      </c>
      <c r="O1363" s="2205">
        <v>1</v>
      </c>
      <c r="P1363" s="2186">
        <v>0</v>
      </c>
      <c r="Q1363" s="2205">
        <v>0</v>
      </c>
      <c r="R1363" s="2186">
        <v>0</v>
      </c>
      <c r="S1363" s="2186">
        <v>0</v>
      </c>
      <c r="T1363" s="2186">
        <v>0</v>
      </c>
      <c r="U1363" s="2186">
        <v>0</v>
      </c>
      <c r="V1363" s="2186">
        <v>0</v>
      </c>
      <c r="W1363" s="2186">
        <v>0</v>
      </c>
      <c r="X1363" s="2186">
        <v>0</v>
      </c>
      <c r="Y1363" s="2205">
        <f t="shared" si="381"/>
        <v>0</v>
      </c>
      <c r="Z1363" s="2186">
        <f t="shared" si="380"/>
        <v>0</v>
      </c>
      <c r="AA1363" s="2205">
        <f t="shared" si="378"/>
        <v>1</v>
      </c>
      <c r="AB1363" s="2209">
        <f t="shared" si="378"/>
        <v>20584500</v>
      </c>
      <c r="AC1363" s="2210"/>
      <c r="AD1363" s="2210"/>
      <c r="AE1363" s="2207" t="s">
        <v>222</v>
      </c>
    </row>
    <row r="1364" spans="1:31" s="616" customFormat="1" ht="51.75" customHeight="1">
      <c r="A1364" s="2191" t="s">
        <v>65</v>
      </c>
      <c r="B1364" s="1374" t="s">
        <v>2840</v>
      </c>
      <c r="C1364" s="2191">
        <v>3</v>
      </c>
      <c r="D1364" s="2191" t="s">
        <v>107</v>
      </c>
      <c r="E1364" s="2191" t="s">
        <v>196</v>
      </c>
      <c r="F1364" s="2191" t="s">
        <v>65</v>
      </c>
      <c r="G1364" s="1374"/>
      <c r="H1364" s="1374"/>
      <c r="I1364" s="2212"/>
      <c r="J1364" s="233"/>
      <c r="K1364" s="2213"/>
      <c r="L1364" s="2198">
        <f>L1366+L1367+L1368+L1369+L1370+L1371+L1372</f>
        <v>17905015886</v>
      </c>
      <c r="M1364" s="2195"/>
      <c r="N1364" s="2200">
        <f>N1366+N1367+N1368+N1369+N1370+N1371+N1372</f>
        <v>5698867511</v>
      </c>
      <c r="O1364" s="2214"/>
      <c r="P1364" s="2198">
        <f>P1366+P1367+P1368+P1369+P1370+P1371+P1372</f>
        <v>1824490750</v>
      </c>
      <c r="Q1364" s="2214"/>
      <c r="R1364" s="2198">
        <f>R1366+R1367+R1368+R1369+R1370+R1371+R1372</f>
        <v>220256402</v>
      </c>
      <c r="S1364" s="2198"/>
      <c r="T1364" s="2198"/>
      <c r="U1364" s="2198"/>
      <c r="V1364" s="2198"/>
      <c r="W1364" s="2198"/>
      <c r="X1364" s="2198"/>
      <c r="Y1364" s="2195"/>
      <c r="Z1364" s="2199">
        <f>R1364</f>
        <v>220256402</v>
      </c>
      <c r="AA1364" s="2215"/>
      <c r="AB1364" s="2200">
        <f>AB1366+AB1367+AB1368+AB1369+AB1370+AB1371+AB1372</f>
        <v>5919123913</v>
      </c>
      <c r="AC1364" s="2202"/>
      <c r="AD1364" s="2216"/>
      <c r="AE1364" s="2203"/>
    </row>
    <row r="1365" spans="1:31" s="385" customFormat="1">
      <c r="A1365" s="384"/>
      <c r="B1365" s="384"/>
      <c r="C1365" s="384"/>
      <c r="D1365" s="384"/>
      <c r="E1365" s="384"/>
      <c r="F1365" s="384"/>
      <c r="G1365" s="384"/>
      <c r="H1365" s="384"/>
      <c r="I1365" s="384"/>
      <c r="J1365" s="741"/>
      <c r="K1365" s="2217"/>
      <c r="L1365" s="2218"/>
      <c r="M1365" s="2219"/>
      <c r="N1365" s="2220"/>
      <c r="O1365" s="2221"/>
      <c r="P1365" s="2218"/>
      <c r="Q1365" s="2221"/>
      <c r="R1365" s="2218"/>
      <c r="S1365" s="2218"/>
      <c r="T1365" s="2218"/>
      <c r="U1365" s="2218"/>
      <c r="V1365" s="2218"/>
      <c r="W1365" s="2218"/>
      <c r="X1365" s="2218"/>
      <c r="Y1365" s="2219"/>
      <c r="Z1365" s="1257"/>
      <c r="AA1365" s="1254"/>
      <c r="AB1365" s="1267"/>
      <c r="AC1365" s="2222"/>
      <c r="AD1365" s="1995"/>
      <c r="AE1365" s="390"/>
    </row>
    <row r="1366" spans="1:31" s="385" customFormat="1" ht="57.75" customHeight="1">
      <c r="A1366" s="1385"/>
      <c r="B1366" s="1385"/>
      <c r="C1366" s="2191">
        <v>3</v>
      </c>
      <c r="D1366" s="2191" t="s">
        <v>107</v>
      </c>
      <c r="E1366" s="2191" t="s">
        <v>196</v>
      </c>
      <c r="F1366" s="2191" t="s">
        <v>65</v>
      </c>
      <c r="G1366" s="1781" t="s">
        <v>161</v>
      </c>
      <c r="H1366" s="1781"/>
      <c r="I1366" s="1762" t="s">
        <v>1421</v>
      </c>
      <c r="J1366" s="233" t="s">
        <v>2841</v>
      </c>
      <c r="K1366" s="2204">
        <v>35</v>
      </c>
      <c r="L1366" s="2186">
        <v>13655656840</v>
      </c>
      <c r="M1366" s="2205">
        <v>17</v>
      </c>
      <c r="N1366" s="2186">
        <v>4540713960</v>
      </c>
      <c r="O1366" s="2205">
        <v>3</v>
      </c>
      <c r="P1366" s="2186">
        <v>1400330000</v>
      </c>
      <c r="Q1366" s="2205">
        <v>0</v>
      </c>
      <c r="R1366" s="2186">
        <v>132407889</v>
      </c>
      <c r="S1366" s="2186">
        <v>0</v>
      </c>
      <c r="T1366" s="2186">
        <v>0</v>
      </c>
      <c r="U1366" s="2186">
        <v>0</v>
      </c>
      <c r="V1366" s="2186">
        <v>0</v>
      </c>
      <c r="W1366" s="2186">
        <v>0</v>
      </c>
      <c r="X1366" s="2186">
        <v>0</v>
      </c>
      <c r="Y1366" s="2205">
        <f t="shared" si="381"/>
        <v>0</v>
      </c>
      <c r="Z1366" s="2186">
        <f>R1366</f>
        <v>132407889</v>
      </c>
      <c r="AA1366" s="2205">
        <f t="shared" ref="AA1366:AB1373" si="382">M1366+Y1366</f>
        <v>17</v>
      </c>
      <c r="AB1366" s="2209">
        <f t="shared" si="382"/>
        <v>4673121849</v>
      </c>
      <c r="AC1366" s="2210">
        <f t="shared" ref="AC1366:AD1372" si="383">AA1366/K1366*100%</f>
        <v>0.48571428571428571</v>
      </c>
      <c r="AD1366" s="2210">
        <f t="shared" si="383"/>
        <v>0.34221142957485157</v>
      </c>
      <c r="AE1366" s="2207" t="s">
        <v>222</v>
      </c>
    </row>
    <row r="1367" spans="1:31" s="385" customFormat="1" ht="57.75" customHeight="1">
      <c r="A1367" s="1385"/>
      <c r="B1367" s="1385"/>
      <c r="C1367" s="2191">
        <v>3</v>
      </c>
      <c r="D1367" s="2191" t="s">
        <v>107</v>
      </c>
      <c r="E1367" s="2191" t="s">
        <v>196</v>
      </c>
      <c r="F1367" s="2191" t="s">
        <v>65</v>
      </c>
      <c r="G1367" s="1781" t="s">
        <v>198</v>
      </c>
      <c r="H1367" s="1781"/>
      <c r="I1367" s="1762" t="s">
        <v>2842</v>
      </c>
      <c r="J1367" s="233" t="s">
        <v>2843</v>
      </c>
      <c r="K1367" s="2204">
        <v>25</v>
      </c>
      <c r="L1367" s="2186">
        <v>448000000</v>
      </c>
      <c r="M1367" s="2205">
        <v>3</v>
      </c>
      <c r="N1367" s="2186">
        <v>128838700</v>
      </c>
      <c r="O1367" s="2205">
        <v>0</v>
      </c>
      <c r="P1367" s="2186">
        <v>0</v>
      </c>
      <c r="Q1367" s="2205">
        <v>0</v>
      </c>
      <c r="R1367" s="2186">
        <v>0</v>
      </c>
      <c r="S1367" s="2186">
        <v>0</v>
      </c>
      <c r="T1367" s="2186">
        <v>0</v>
      </c>
      <c r="U1367" s="2186">
        <v>0</v>
      </c>
      <c r="V1367" s="2186">
        <v>0</v>
      </c>
      <c r="W1367" s="2186">
        <v>0</v>
      </c>
      <c r="X1367" s="2186">
        <v>0</v>
      </c>
      <c r="Y1367" s="2205">
        <f>Q1367</f>
        <v>0</v>
      </c>
      <c r="Z1367" s="2186">
        <f>R1367</f>
        <v>0</v>
      </c>
      <c r="AA1367" s="2205">
        <f t="shared" si="382"/>
        <v>3</v>
      </c>
      <c r="AB1367" s="2209">
        <f t="shared" si="382"/>
        <v>128838700</v>
      </c>
      <c r="AC1367" s="2210">
        <f t="shared" si="383"/>
        <v>0.12</v>
      </c>
      <c r="AD1367" s="2210">
        <f t="shared" si="383"/>
        <v>0.28758638392857144</v>
      </c>
      <c r="AE1367" s="2207" t="s">
        <v>222</v>
      </c>
    </row>
    <row r="1368" spans="1:31" s="385" customFormat="1" ht="57.75" customHeight="1">
      <c r="A1368" s="1385"/>
      <c r="B1368" s="1385"/>
      <c r="C1368" s="2191">
        <v>3</v>
      </c>
      <c r="D1368" s="2191" t="s">
        <v>107</v>
      </c>
      <c r="E1368" s="2191" t="s">
        <v>196</v>
      </c>
      <c r="F1368" s="2191" t="s">
        <v>65</v>
      </c>
      <c r="G1368" s="1781" t="s">
        <v>201</v>
      </c>
      <c r="H1368" s="1781"/>
      <c r="I1368" s="1762" t="s">
        <v>2844</v>
      </c>
      <c r="J1368" s="233" t="s">
        <v>2845</v>
      </c>
      <c r="K1368" s="2204">
        <v>33</v>
      </c>
      <c r="L1368" s="2186">
        <v>225043296</v>
      </c>
      <c r="M1368" s="2205">
        <v>7</v>
      </c>
      <c r="N1368" s="2186">
        <v>210539500</v>
      </c>
      <c r="O1368" s="2205">
        <v>0</v>
      </c>
      <c r="P1368" s="2186">
        <v>0</v>
      </c>
      <c r="Q1368" s="2205">
        <v>0</v>
      </c>
      <c r="R1368" s="2186">
        <v>0</v>
      </c>
      <c r="S1368" s="2186">
        <v>0</v>
      </c>
      <c r="T1368" s="2186">
        <v>0</v>
      </c>
      <c r="U1368" s="2186">
        <v>0</v>
      </c>
      <c r="V1368" s="2186">
        <v>0</v>
      </c>
      <c r="W1368" s="2186">
        <v>0</v>
      </c>
      <c r="X1368" s="2186">
        <v>0</v>
      </c>
      <c r="Y1368" s="2205">
        <f>Q1368</f>
        <v>0</v>
      </c>
      <c r="Z1368" s="2186">
        <f>R1368</f>
        <v>0</v>
      </c>
      <c r="AA1368" s="2205">
        <f t="shared" si="382"/>
        <v>7</v>
      </c>
      <c r="AB1368" s="2209">
        <f t="shared" si="382"/>
        <v>210539500</v>
      </c>
      <c r="AC1368" s="2210">
        <f t="shared" si="383"/>
        <v>0.21212121212121213</v>
      </c>
      <c r="AD1368" s="2210">
        <f t="shared" si="383"/>
        <v>0.93555108613410998</v>
      </c>
      <c r="AE1368" s="2207" t="s">
        <v>222</v>
      </c>
    </row>
    <row r="1369" spans="1:31" s="385" customFormat="1" ht="57.75" customHeight="1">
      <c r="A1369" s="1385"/>
      <c r="B1369" s="1385"/>
      <c r="C1369" s="2191">
        <v>3</v>
      </c>
      <c r="D1369" s="2191" t="s">
        <v>107</v>
      </c>
      <c r="E1369" s="2191" t="s">
        <v>196</v>
      </c>
      <c r="F1369" s="2191" t="s">
        <v>65</v>
      </c>
      <c r="G1369" s="1781" t="s">
        <v>202</v>
      </c>
      <c r="H1369" s="1781"/>
      <c r="I1369" s="1762" t="s">
        <v>938</v>
      </c>
      <c r="J1369" s="233"/>
      <c r="K1369" s="2204">
        <v>50</v>
      </c>
      <c r="L1369" s="2186">
        <v>159000000</v>
      </c>
      <c r="M1369" s="2205">
        <v>8</v>
      </c>
      <c r="N1369" s="2186">
        <v>22930000</v>
      </c>
      <c r="O1369" s="2205">
        <v>0</v>
      </c>
      <c r="P1369" s="2186">
        <v>0</v>
      </c>
      <c r="Q1369" s="2205">
        <v>0</v>
      </c>
      <c r="R1369" s="2186">
        <v>0</v>
      </c>
      <c r="S1369" s="2186">
        <v>0</v>
      </c>
      <c r="T1369" s="2186">
        <v>0</v>
      </c>
      <c r="U1369" s="2186">
        <v>0</v>
      </c>
      <c r="V1369" s="2186">
        <v>0</v>
      </c>
      <c r="W1369" s="2186">
        <v>0</v>
      </c>
      <c r="X1369" s="2186">
        <v>0</v>
      </c>
      <c r="Y1369" s="2205">
        <v>0</v>
      </c>
      <c r="Z1369" s="2186">
        <v>0</v>
      </c>
      <c r="AA1369" s="2205">
        <f t="shared" si="382"/>
        <v>8</v>
      </c>
      <c r="AB1369" s="2209">
        <f t="shared" si="382"/>
        <v>22930000</v>
      </c>
      <c r="AC1369" s="2210">
        <f t="shared" si="383"/>
        <v>0.16</v>
      </c>
      <c r="AD1369" s="2210">
        <f t="shared" si="383"/>
        <v>0.14421383647798741</v>
      </c>
      <c r="AE1369" s="2207" t="s">
        <v>222</v>
      </c>
    </row>
    <row r="1370" spans="1:31" s="385" customFormat="1" ht="60.75" customHeight="1">
      <c r="A1370" s="1385"/>
      <c r="B1370" s="1385"/>
      <c r="C1370" s="2191">
        <v>3</v>
      </c>
      <c r="D1370" s="2191" t="s">
        <v>107</v>
      </c>
      <c r="E1370" s="2191" t="s">
        <v>196</v>
      </c>
      <c r="F1370" s="2191" t="s">
        <v>65</v>
      </c>
      <c r="G1370" s="1380">
        <v>22</v>
      </c>
      <c r="H1370" s="1380"/>
      <c r="I1370" s="1762" t="s">
        <v>2846</v>
      </c>
      <c r="J1370" s="1385" t="s">
        <v>2847</v>
      </c>
      <c r="K1370" s="2204">
        <v>6</v>
      </c>
      <c r="L1370" s="2186">
        <v>1244800000</v>
      </c>
      <c r="M1370" s="2205">
        <v>2</v>
      </c>
      <c r="N1370" s="2186">
        <v>484921280</v>
      </c>
      <c r="O1370" s="2205">
        <v>1</v>
      </c>
      <c r="P1370" s="2186">
        <v>185400000</v>
      </c>
      <c r="Q1370" s="2205">
        <v>0</v>
      </c>
      <c r="R1370" s="2186">
        <v>35947000</v>
      </c>
      <c r="S1370" s="2186">
        <v>0</v>
      </c>
      <c r="T1370" s="2186">
        <v>0</v>
      </c>
      <c r="U1370" s="2186">
        <v>0</v>
      </c>
      <c r="V1370" s="2186">
        <v>0</v>
      </c>
      <c r="W1370" s="2186">
        <v>0</v>
      </c>
      <c r="X1370" s="2186">
        <v>0</v>
      </c>
      <c r="Y1370" s="2205">
        <f t="shared" si="381"/>
        <v>0</v>
      </c>
      <c r="Z1370" s="2186">
        <f t="shared" si="380"/>
        <v>35947000</v>
      </c>
      <c r="AA1370" s="2205">
        <f t="shared" si="382"/>
        <v>2</v>
      </c>
      <c r="AB1370" s="2209">
        <f t="shared" si="382"/>
        <v>520868280</v>
      </c>
      <c r="AC1370" s="2210">
        <f t="shared" si="383"/>
        <v>0.33333333333333331</v>
      </c>
      <c r="AD1370" s="2210">
        <f t="shared" si="383"/>
        <v>0.41843531491002572</v>
      </c>
      <c r="AE1370" s="2207" t="s">
        <v>222</v>
      </c>
    </row>
    <row r="1371" spans="1:31" s="385" customFormat="1" ht="81" customHeight="1">
      <c r="A1371" s="1385"/>
      <c r="B1371" s="1385"/>
      <c r="C1371" s="2191">
        <v>3</v>
      </c>
      <c r="D1371" s="2191" t="s">
        <v>107</v>
      </c>
      <c r="E1371" s="2191" t="s">
        <v>196</v>
      </c>
      <c r="F1371" s="2191" t="s">
        <v>65</v>
      </c>
      <c r="G1371" s="1380">
        <v>24</v>
      </c>
      <c r="H1371" s="1380"/>
      <c r="I1371" s="1762" t="s">
        <v>224</v>
      </c>
      <c r="J1371" s="1385" t="s">
        <v>2848</v>
      </c>
      <c r="K1371" s="2204">
        <v>72</v>
      </c>
      <c r="L1371" s="2186">
        <v>1402115750</v>
      </c>
      <c r="M1371" s="2205">
        <v>24</v>
      </c>
      <c r="N1371" s="2186">
        <v>263493151</v>
      </c>
      <c r="O1371" s="2205">
        <v>12</v>
      </c>
      <c r="P1371" s="2186">
        <v>203760750</v>
      </c>
      <c r="Q1371" s="2205">
        <v>3</v>
      </c>
      <c r="R1371" s="2186">
        <v>36781786</v>
      </c>
      <c r="S1371" s="2186">
        <v>0</v>
      </c>
      <c r="T1371" s="2186">
        <v>0</v>
      </c>
      <c r="U1371" s="2186">
        <v>0</v>
      </c>
      <c r="V1371" s="2186">
        <v>0</v>
      </c>
      <c r="W1371" s="2186">
        <v>0</v>
      </c>
      <c r="X1371" s="2186">
        <v>0</v>
      </c>
      <c r="Y1371" s="2205">
        <f t="shared" si="381"/>
        <v>3</v>
      </c>
      <c r="Z1371" s="2186">
        <f t="shared" si="380"/>
        <v>36781786</v>
      </c>
      <c r="AA1371" s="2205">
        <f t="shared" si="382"/>
        <v>27</v>
      </c>
      <c r="AB1371" s="2209">
        <f t="shared" si="382"/>
        <v>300274937</v>
      </c>
      <c r="AC1371" s="2210">
        <f t="shared" si="383"/>
        <v>0.375</v>
      </c>
      <c r="AD1371" s="2210">
        <f t="shared" si="383"/>
        <v>0.21415845089822291</v>
      </c>
      <c r="AE1371" s="2207" t="s">
        <v>222</v>
      </c>
    </row>
    <row r="1372" spans="1:31" s="385" customFormat="1" ht="56.25" customHeight="1">
      <c r="A1372" s="1385"/>
      <c r="B1372" s="1385"/>
      <c r="C1372" s="2191">
        <v>3</v>
      </c>
      <c r="D1372" s="2191" t="s">
        <v>107</v>
      </c>
      <c r="E1372" s="2191" t="s">
        <v>196</v>
      </c>
      <c r="F1372" s="2191" t="s">
        <v>65</v>
      </c>
      <c r="G1372" s="1380">
        <v>26</v>
      </c>
      <c r="H1372" s="1380"/>
      <c r="I1372" s="1762" t="s">
        <v>225</v>
      </c>
      <c r="J1372" s="1385" t="s">
        <v>2849</v>
      </c>
      <c r="K1372" s="2204">
        <v>72</v>
      </c>
      <c r="L1372" s="2186">
        <v>770400000</v>
      </c>
      <c r="M1372" s="2205">
        <v>24</v>
      </c>
      <c r="N1372" s="2186">
        <v>47430920</v>
      </c>
      <c r="O1372" s="2205">
        <v>12</v>
      </c>
      <c r="P1372" s="2186">
        <v>35000000</v>
      </c>
      <c r="Q1372" s="2205">
        <v>3</v>
      </c>
      <c r="R1372" s="2186">
        <v>15119727</v>
      </c>
      <c r="S1372" s="2186">
        <v>0</v>
      </c>
      <c r="T1372" s="2186">
        <v>0</v>
      </c>
      <c r="U1372" s="2186">
        <v>0</v>
      </c>
      <c r="V1372" s="2186">
        <v>0</v>
      </c>
      <c r="W1372" s="2186">
        <v>0</v>
      </c>
      <c r="X1372" s="2186">
        <v>0</v>
      </c>
      <c r="Y1372" s="2205">
        <f t="shared" si="381"/>
        <v>3</v>
      </c>
      <c r="Z1372" s="2186">
        <f t="shared" si="380"/>
        <v>15119727</v>
      </c>
      <c r="AA1372" s="2205">
        <f t="shared" si="382"/>
        <v>27</v>
      </c>
      <c r="AB1372" s="2209">
        <f t="shared" si="382"/>
        <v>62550647</v>
      </c>
      <c r="AC1372" s="2210">
        <f t="shared" si="383"/>
        <v>0.375</v>
      </c>
      <c r="AD1372" s="2210">
        <f t="shared" si="383"/>
        <v>8.1192428608515055E-2</v>
      </c>
      <c r="AE1372" s="2207" t="s">
        <v>222</v>
      </c>
    </row>
    <row r="1373" spans="1:31" s="385" customFormat="1" ht="0.75" customHeight="1">
      <c r="A1373" s="1385"/>
      <c r="B1373" s="1385"/>
      <c r="C1373" s="1385"/>
      <c r="D1373" s="1781"/>
      <c r="E1373" s="1781"/>
      <c r="F1373" s="1781"/>
      <c r="G1373" s="1385"/>
      <c r="H1373" s="1385"/>
      <c r="I1373" s="1762"/>
      <c r="J1373" s="1385"/>
      <c r="K1373" s="2204"/>
      <c r="L1373" s="2186"/>
      <c r="M1373" s="2205"/>
      <c r="N1373" s="2186"/>
      <c r="O1373" s="2205">
        <v>1</v>
      </c>
      <c r="P1373" s="2186"/>
      <c r="Q1373" s="2205"/>
      <c r="R1373" s="2186"/>
      <c r="S1373" s="2186">
        <v>0</v>
      </c>
      <c r="T1373" s="2186">
        <v>0</v>
      </c>
      <c r="U1373" s="2186">
        <v>0</v>
      </c>
      <c r="V1373" s="2186">
        <v>0</v>
      </c>
      <c r="W1373" s="2186">
        <v>0</v>
      </c>
      <c r="X1373" s="2186">
        <v>0</v>
      </c>
      <c r="Y1373" s="2205">
        <f t="shared" si="381"/>
        <v>0</v>
      </c>
      <c r="Z1373" s="2186">
        <f t="shared" si="380"/>
        <v>0</v>
      </c>
      <c r="AA1373" s="2215">
        <f t="shared" si="382"/>
        <v>0</v>
      </c>
      <c r="AB1373" s="2209">
        <f t="shared" si="382"/>
        <v>0</v>
      </c>
      <c r="AC1373" s="2206"/>
      <c r="AD1373" s="2216"/>
      <c r="AE1373" s="2207" t="s">
        <v>2850</v>
      </c>
    </row>
    <row r="1374" spans="1:31" s="385" customFormat="1">
      <c r="A1374" s="1385"/>
      <c r="B1374" s="1385"/>
      <c r="C1374" s="1385"/>
      <c r="D1374" s="1385"/>
      <c r="E1374" s="1385"/>
      <c r="F1374" s="1385"/>
      <c r="G1374" s="1385"/>
      <c r="H1374" s="1385"/>
      <c r="I1374" s="1762"/>
      <c r="J1374" s="1385"/>
      <c r="K1374" s="2204"/>
      <c r="L1374" s="2186"/>
      <c r="M1374" s="2205"/>
      <c r="N1374" s="2186"/>
      <c r="O1374" s="2205"/>
      <c r="P1374" s="2186"/>
      <c r="Q1374" s="2205"/>
      <c r="R1374" s="2186"/>
      <c r="S1374" s="2186"/>
      <c r="T1374" s="2186"/>
      <c r="U1374" s="2186"/>
      <c r="V1374" s="2186"/>
      <c r="W1374" s="2186"/>
      <c r="X1374" s="2186"/>
      <c r="Y1374" s="2205"/>
      <c r="Z1374" s="2186">
        <f t="shared" si="380"/>
        <v>0</v>
      </c>
      <c r="AA1374" s="2215"/>
      <c r="AB1374" s="2209">
        <f>N1374+Z1374</f>
        <v>0</v>
      </c>
      <c r="AC1374" s="2206"/>
      <c r="AD1374" s="2216"/>
      <c r="AE1374" s="2207"/>
    </row>
    <row r="1375" spans="1:31" s="621" customFormat="1" ht="65.25" customHeight="1">
      <c r="A1375" s="2191" t="s">
        <v>196</v>
      </c>
      <c r="B1375" s="2595" t="s">
        <v>2851</v>
      </c>
      <c r="C1375" s="2191">
        <v>3</v>
      </c>
      <c r="D1375" s="2191" t="s">
        <v>107</v>
      </c>
      <c r="E1375" s="2191" t="s">
        <v>196</v>
      </c>
      <c r="F1375" s="2191" t="s">
        <v>161</v>
      </c>
      <c r="G1375" s="1374"/>
      <c r="H1375" s="1374"/>
      <c r="I1375" s="286" t="s">
        <v>226</v>
      </c>
      <c r="J1375" s="1374"/>
      <c r="K1375" s="2201"/>
      <c r="L1375" s="2199">
        <f>L1377</f>
        <v>521910000</v>
      </c>
      <c r="M1375" s="2195"/>
      <c r="N1375" s="2199">
        <f>N1377</f>
        <v>194406925</v>
      </c>
      <c r="O1375" s="2205"/>
      <c r="P1375" s="2186">
        <f>SUM(P1377)</f>
        <v>0</v>
      </c>
      <c r="Q1375" s="2205"/>
      <c r="R1375" s="2186"/>
      <c r="S1375" s="2186"/>
      <c r="T1375" s="2186"/>
      <c r="U1375" s="2186"/>
      <c r="V1375" s="2186"/>
      <c r="W1375" s="2186"/>
      <c r="X1375" s="2186"/>
      <c r="Y1375" s="2205"/>
      <c r="Z1375" s="2186">
        <f t="shared" si="380"/>
        <v>0</v>
      </c>
      <c r="AA1375" s="2215"/>
      <c r="AB1375" s="2200">
        <f>AB1377</f>
        <v>194406925</v>
      </c>
      <c r="AC1375" s="2202"/>
      <c r="AD1375" s="2216"/>
      <c r="AE1375" s="2203"/>
    </row>
    <row r="1376" spans="1:31" s="497" customFormat="1" ht="20.25" customHeight="1">
      <c r="A1376" s="1385"/>
      <c r="B1376" s="2596"/>
      <c r="C1376" s="1385"/>
      <c r="D1376" s="1385"/>
      <c r="E1376" s="1385"/>
      <c r="F1376" s="1385"/>
      <c r="G1376" s="1385"/>
      <c r="H1376" s="1385"/>
      <c r="I1376" s="233"/>
      <c r="J1376" s="1385"/>
      <c r="K1376" s="2204"/>
      <c r="L1376" s="2186"/>
      <c r="M1376" s="2205"/>
      <c r="N1376" s="2186"/>
      <c r="O1376" s="2205"/>
      <c r="P1376" s="2186"/>
      <c r="Q1376" s="2205"/>
      <c r="R1376" s="2186"/>
      <c r="S1376" s="2186"/>
      <c r="T1376" s="2186"/>
      <c r="U1376" s="2186"/>
      <c r="V1376" s="2186"/>
      <c r="W1376" s="2186"/>
      <c r="X1376" s="2186"/>
      <c r="Y1376" s="2205"/>
      <c r="Z1376" s="2186">
        <f t="shared" si="380"/>
        <v>0</v>
      </c>
      <c r="AA1376" s="2215"/>
      <c r="AB1376" s="2209">
        <f>N1376+Z1376</f>
        <v>0</v>
      </c>
      <c r="AC1376" s="2206"/>
      <c r="AD1376" s="2216"/>
      <c r="AE1376" s="2207"/>
    </row>
    <row r="1377" spans="1:31" s="497" customFormat="1" ht="46.5" customHeight="1">
      <c r="A1377" s="1385"/>
      <c r="B1377" s="1385"/>
      <c r="C1377" s="2191">
        <v>3</v>
      </c>
      <c r="D1377" s="2191" t="s">
        <v>107</v>
      </c>
      <c r="E1377" s="2191" t="s">
        <v>196</v>
      </c>
      <c r="F1377" s="2191" t="s">
        <v>161</v>
      </c>
      <c r="G1377" s="1781" t="s">
        <v>66</v>
      </c>
      <c r="H1377" s="1781"/>
      <c r="I1377" s="233" t="s">
        <v>209</v>
      </c>
      <c r="J1377" s="1385" t="s">
        <v>2852</v>
      </c>
      <c r="K1377" s="2204">
        <v>71</v>
      </c>
      <c r="L1377" s="2186">
        <v>521910000</v>
      </c>
      <c r="M1377" s="2205">
        <v>16</v>
      </c>
      <c r="N1377" s="2186">
        <v>194406925</v>
      </c>
      <c r="O1377" s="2205">
        <v>0</v>
      </c>
      <c r="P1377" s="2186">
        <v>0</v>
      </c>
      <c r="Q1377" s="2205">
        <v>0</v>
      </c>
      <c r="R1377" s="2186">
        <v>0</v>
      </c>
      <c r="S1377" s="2186">
        <v>0</v>
      </c>
      <c r="T1377" s="2186">
        <v>0</v>
      </c>
      <c r="U1377" s="2186">
        <v>0</v>
      </c>
      <c r="V1377" s="2186">
        <v>0</v>
      </c>
      <c r="W1377" s="2186">
        <v>0</v>
      </c>
      <c r="X1377" s="2186">
        <v>0</v>
      </c>
      <c r="Y1377" s="2205">
        <f t="shared" si="381"/>
        <v>0</v>
      </c>
      <c r="Z1377" s="2186">
        <f t="shared" si="380"/>
        <v>0</v>
      </c>
      <c r="AA1377" s="2205">
        <f>M1377+Y1377</f>
        <v>16</v>
      </c>
      <c r="AB1377" s="2209">
        <f>N1377+Z1377</f>
        <v>194406925</v>
      </c>
      <c r="AC1377" s="2210">
        <f>AA1377/K1377*100%</f>
        <v>0.22535211267605634</v>
      </c>
      <c r="AD1377" s="2210">
        <f>AB1377/L1377*100%</f>
        <v>0.37249128202180454</v>
      </c>
      <c r="AE1377" s="2207" t="s">
        <v>222</v>
      </c>
    </row>
    <row r="1378" spans="1:31" s="621" customFormat="1" ht="62.25" customHeight="1">
      <c r="A1378" s="2191" t="s">
        <v>95</v>
      </c>
      <c r="B1378" s="1374" t="s">
        <v>2853</v>
      </c>
      <c r="C1378" s="2191">
        <v>3</v>
      </c>
      <c r="D1378" s="2191" t="s">
        <v>107</v>
      </c>
      <c r="E1378" s="2191" t="s">
        <v>196</v>
      </c>
      <c r="F1378" s="2191" t="s">
        <v>197</v>
      </c>
      <c r="G1378" s="1374"/>
      <c r="H1378" s="1374"/>
      <c r="I1378" s="286" t="s">
        <v>227</v>
      </c>
      <c r="J1378" s="1374" t="s">
        <v>2854</v>
      </c>
      <c r="K1378" s="2223">
        <v>0.9</v>
      </c>
      <c r="L1378" s="2224">
        <v>1659385.22</v>
      </c>
      <c r="M1378" s="2225">
        <v>0.9</v>
      </c>
      <c r="N1378" s="2226">
        <v>502046.87</v>
      </c>
      <c r="O1378" s="2223">
        <v>0.9</v>
      </c>
      <c r="P1378" s="2226">
        <v>275085.58</v>
      </c>
      <c r="Q1378" s="2195"/>
      <c r="R1378" s="2199"/>
      <c r="S1378" s="2199"/>
      <c r="T1378" s="2199"/>
      <c r="U1378" s="2199"/>
      <c r="V1378" s="2199"/>
      <c r="W1378" s="2199"/>
      <c r="X1378" s="2199"/>
      <c r="Y1378" s="2195">
        <f t="shared" si="381"/>
        <v>0</v>
      </c>
      <c r="Z1378" s="2199">
        <f t="shared" si="380"/>
        <v>0</v>
      </c>
      <c r="AA1378" s="2223"/>
      <c r="AB1378" s="2200"/>
      <c r="AC1378" s="2202"/>
      <c r="AD1378" s="2227"/>
      <c r="AE1378" s="2207"/>
    </row>
    <row r="1379" spans="1:31" s="497" customFormat="1" ht="59.25" customHeight="1">
      <c r="A1379" s="1385"/>
      <c r="B1379" s="1385"/>
      <c r="C1379" s="2191">
        <v>3</v>
      </c>
      <c r="D1379" s="2191" t="s">
        <v>107</v>
      </c>
      <c r="E1379" s="2191" t="s">
        <v>196</v>
      </c>
      <c r="F1379" s="2191" t="s">
        <v>197</v>
      </c>
      <c r="G1379" s="1781" t="s">
        <v>66</v>
      </c>
      <c r="H1379" s="1781"/>
      <c r="I1379" s="273" t="s">
        <v>2855</v>
      </c>
      <c r="J1379" s="1385" t="s">
        <v>2856</v>
      </c>
      <c r="K1379" s="2204">
        <v>1320</v>
      </c>
      <c r="L1379" s="2186">
        <v>719742336</v>
      </c>
      <c r="M1379" s="2205">
        <v>440</v>
      </c>
      <c r="N1379" s="2186">
        <v>192438303</v>
      </c>
      <c r="O1379" s="2205">
        <v>220</v>
      </c>
      <c r="P1379" s="2186">
        <v>95000000</v>
      </c>
      <c r="Q1379" s="2205">
        <v>0</v>
      </c>
      <c r="R1379" s="2186">
        <v>0</v>
      </c>
      <c r="S1379" s="2186">
        <v>0</v>
      </c>
      <c r="T1379" s="2186">
        <v>0</v>
      </c>
      <c r="U1379" s="2186">
        <v>0</v>
      </c>
      <c r="V1379" s="2186">
        <v>0</v>
      </c>
      <c r="W1379" s="2186">
        <v>0</v>
      </c>
      <c r="X1379" s="2186">
        <v>0</v>
      </c>
      <c r="Y1379" s="2205">
        <f t="shared" si="381"/>
        <v>0</v>
      </c>
      <c r="Z1379" s="2186">
        <f t="shared" si="380"/>
        <v>0</v>
      </c>
      <c r="AA1379" s="2205">
        <f t="shared" ref="AA1379:AB1381" si="384">M1379+Y1379</f>
        <v>440</v>
      </c>
      <c r="AB1379" s="2209">
        <f t="shared" si="384"/>
        <v>192438303</v>
      </c>
      <c r="AC1379" s="2210">
        <f t="shared" ref="AC1379:AD1381" si="385">AA1379/K1379*100%</f>
        <v>0.33333333333333331</v>
      </c>
      <c r="AD1379" s="2210">
        <f t="shared" si="385"/>
        <v>0.26737110403909881</v>
      </c>
      <c r="AE1379" s="2207" t="s">
        <v>222</v>
      </c>
    </row>
    <row r="1380" spans="1:31" s="497" customFormat="1" ht="58.5" customHeight="1">
      <c r="A1380" s="1385"/>
      <c r="B1380" s="1385"/>
      <c r="C1380" s="2191">
        <v>3</v>
      </c>
      <c r="D1380" s="2191" t="s">
        <v>107</v>
      </c>
      <c r="E1380" s="2191" t="s">
        <v>196</v>
      </c>
      <c r="F1380" s="2191" t="s">
        <v>197</v>
      </c>
      <c r="G1380" s="1781" t="s">
        <v>65</v>
      </c>
      <c r="H1380" s="1781"/>
      <c r="I1380" s="273" t="s">
        <v>2857</v>
      </c>
      <c r="J1380" s="1385" t="s">
        <v>2858</v>
      </c>
      <c r="K1380" s="2204">
        <v>1080</v>
      </c>
      <c r="L1380" s="2186">
        <v>452640035</v>
      </c>
      <c r="M1380" s="2205">
        <v>440</v>
      </c>
      <c r="N1380" s="2186">
        <v>115508498</v>
      </c>
      <c r="O1380" s="2205">
        <v>160</v>
      </c>
      <c r="P1380" s="2186">
        <v>58165001</v>
      </c>
      <c r="Q1380" s="2205">
        <v>0</v>
      </c>
      <c r="R1380" s="2186">
        <v>0</v>
      </c>
      <c r="S1380" s="2186">
        <v>0</v>
      </c>
      <c r="T1380" s="2186">
        <v>0</v>
      </c>
      <c r="U1380" s="2186">
        <v>0</v>
      </c>
      <c r="V1380" s="2186">
        <v>0</v>
      </c>
      <c r="W1380" s="2186">
        <v>0</v>
      </c>
      <c r="X1380" s="2186">
        <v>0</v>
      </c>
      <c r="Y1380" s="2205">
        <f t="shared" si="381"/>
        <v>0</v>
      </c>
      <c r="Z1380" s="2186">
        <f t="shared" si="380"/>
        <v>0</v>
      </c>
      <c r="AA1380" s="2205">
        <f t="shared" si="384"/>
        <v>440</v>
      </c>
      <c r="AB1380" s="2209">
        <f t="shared" si="384"/>
        <v>115508498</v>
      </c>
      <c r="AC1380" s="2210">
        <f t="shared" si="385"/>
        <v>0.40740740740740738</v>
      </c>
      <c r="AD1380" s="2210">
        <f t="shared" si="385"/>
        <v>0.25518842583157719</v>
      </c>
      <c r="AE1380" s="2207" t="s">
        <v>222</v>
      </c>
    </row>
    <row r="1381" spans="1:31" s="497" customFormat="1" ht="54.75" customHeight="1">
      <c r="A1381" s="1385"/>
      <c r="B1381" s="1385"/>
      <c r="C1381" s="2191">
        <v>3</v>
      </c>
      <c r="D1381" s="2191" t="s">
        <v>107</v>
      </c>
      <c r="E1381" s="2191" t="s">
        <v>196</v>
      </c>
      <c r="F1381" s="2191" t="s">
        <v>197</v>
      </c>
      <c r="G1381" s="1781" t="s">
        <v>95</v>
      </c>
      <c r="H1381" s="1781"/>
      <c r="I1381" s="233" t="s">
        <v>2859</v>
      </c>
      <c r="J1381" s="1385" t="s">
        <v>2860</v>
      </c>
      <c r="K1381" s="2204">
        <v>540</v>
      </c>
      <c r="L1381" s="2186">
        <v>654113870</v>
      </c>
      <c r="M1381" s="2205">
        <v>180</v>
      </c>
      <c r="N1381" s="2186">
        <v>180085263</v>
      </c>
      <c r="O1381" s="2205">
        <v>90</v>
      </c>
      <c r="P1381" s="2186">
        <v>121765625</v>
      </c>
      <c r="Q1381" s="2205">
        <v>0</v>
      </c>
      <c r="R1381" s="2186">
        <v>1409463</v>
      </c>
      <c r="S1381" s="2186">
        <v>0</v>
      </c>
      <c r="T1381" s="2186">
        <v>0</v>
      </c>
      <c r="U1381" s="2186">
        <v>0</v>
      </c>
      <c r="V1381" s="2186">
        <v>0</v>
      </c>
      <c r="W1381" s="2186">
        <v>0</v>
      </c>
      <c r="X1381" s="2186">
        <v>0</v>
      </c>
      <c r="Y1381" s="2205">
        <f t="shared" si="381"/>
        <v>0</v>
      </c>
      <c r="Z1381" s="2186">
        <f t="shared" si="380"/>
        <v>1409463</v>
      </c>
      <c r="AA1381" s="2205">
        <f t="shared" si="384"/>
        <v>180</v>
      </c>
      <c r="AB1381" s="2209">
        <f t="shared" si="384"/>
        <v>181494726</v>
      </c>
      <c r="AC1381" s="2210">
        <f t="shared" si="385"/>
        <v>0.33333333333333331</v>
      </c>
      <c r="AD1381" s="2210">
        <f t="shared" si="385"/>
        <v>0.2774665609827231</v>
      </c>
      <c r="AE1381" s="2207" t="s">
        <v>222</v>
      </c>
    </row>
    <row r="1382" spans="1:31" s="497" customFormat="1">
      <c r="A1382" s="384"/>
      <c r="B1382" s="384"/>
      <c r="C1382" s="384"/>
      <c r="D1382" s="384"/>
      <c r="E1382" s="384"/>
      <c r="F1382" s="384"/>
      <c r="G1382" s="384"/>
      <c r="H1382" s="384"/>
      <c r="I1382" s="2228"/>
      <c r="J1382" s="384"/>
      <c r="K1382" s="2220"/>
      <c r="L1382" s="1257"/>
      <c r="M1382" s="2219"/>
      <c r="N1382" s="1257"/>
      <c r="O1382" s="2219"/>
      <c r="P1382" s="1257"/>
      <c r="Q1382" s="2219"/>
      <c r="R1382" s="1257"/>
      <c r="S1382" s="1257"/>
      <c r="T1382" s="1257"/>
      <c r="U1382" s="1257"/>
      <c r="V1382" s="1257"/>
      <c r="W1382" s="1257"/>
      <c r="X1382" s="1257"/>
      <c r="Y1382" s="2219"/>
      <c r="Z1382" s="1257"/>
      <c r="AA1382" s="1254"/>
      <c r="AB1382" s="1267"/>
      <c r="AC1382" s="2222"/>
      <c r="AD1382" s="1995"/>
      <c r="AE1382" s="390"/>
    </row>
    <row r="1383" spans="1:31" s="621" customFormat="1" ht="59.25" customHeight="1">
      <c r="A1383" s="1236" t="s">
        <v>161</v>
      </c>
      <c r="B1383" s="383" t="s">
        <v>2861</v>
      </c>
      <c r="C1383" s="1236">
        <v>3</v>
      </c>
      <c r="D1383" s="1236" t="s">
        <v>107</v>
      </c>
      <c r="E1383" s="1236" t="s">
        <v>196</v>
      </c>
      <c r="F1383" s="1236">
        <v>16</v>
      </c>
      <c r="G1383" s="383"/>
      <c r="H1383" s="383"/>
      <c r="I1383" s="344" t="s">
        <v>2862</v>
      </c>
      <c r="J1383" s="383" t="s">
        <v>2863</v>
      </c>
      <c r="K1383" s="1198"/>
      <c r="L1383" s="2229">
        <f>L1385</f>
        <v>2135174560</v>
      </c>
      <c r="M1383" s="2230"/>
      <c r="N1383" s="2231">
        <f>N1385</f>
        <v>506606705</v>
      </c>
      <c r="O1383" s="2219"/>
      <c r="P1383" s="1257">
        <f>P1385</f>
        <v>0</v>
      </c>
      <c r="Q1383" s="2219"/>
      <c r="R1383" s="1257"/>
      <c r="S1383" s="1257"/>
      <c r="T1383" s="1257"/>
      <c r="U1383" s="1257"/>
      <c r="V1383" s="1257"/>
      <c r="W1383" s="1257"/>
      <c r="X1383" s="1257"/>
      <c r="Y1383" s="2219"/>
      <c r="Z1383" s="1257"/>
      <c r="AA1383" s="1254"/>
      <c r="AB1383" s="1267"/>
      <c r="AC1383" s="2232"/>
      <c r="AD1383" s="1995"/>
      <c r="AE1383" s="753"/>
    </row>
    <row r="1384" spans="1:31" s="497" customFormat="1">
      <c r="A1384" s="384"/>
      <c r="B1384" s="384"/>
      <c r="C1384" s="384"/>
      <c r="D1384" s="384"/>
      <c r="E1384" s="384"/>
      <c r="F1384" s="384"/>
      <c r="G1384" s="384"/>
      <c r="H1384" s="384"/>
      <c r="I1384" s="741"/>
      <c r="J1384" s="384"/>
      <c r="K1384" s="2220"/>
      <c r="L1384" s="1257"/>
      <c r="M1384" s="2219"/>
      <c r="N1384" s="1257"/>
      <c r="O1384" s="2219"/>
      <c r="P1384" s="1257"/>
      <c r="Q1384" s="2219"/>
      <c r="R1384" s="1257"/>
      <c r="S1384" s="1257"/>
      <c r="T1384" s="1257"/>
      <c r="U1384" s="1257"/>
      <c r="V1384" s="1257"/>
      <c r="W1384" s="1257"/>
      <c r="X1384" s="1257"/>
      <c r="Y1384" s="2219"/>
      <c r="Z1384" s="1257"/>
      <c r="AA1384" s="1254"/>
      <c r="AB1384" s="1267"/>
      <c r="AC1384" s="2222"/>
      <c r="AD1384" s="1995"/>
      <c r="AE1384" s="390"/>
    </row>
    <row r="1385" spans="1:31" s="2233" customFormat="1" ht="56.25" customHeight="1">
      <c r="A1385" s="1385"/>
      <c r="B1385" s="1385"/>
      <c r="C1385" s="2191">
        <v>3</v>
      </c>
      <c r="D1385" s="2191" t="s">
        <v>107</v>
      </c>
      <c r="E1385" s="2191" t="s">
        <v>196</v>
      </c>
      <c r="F1385" s="2191">
        <v>16</v>
      </c>
      <c r="G1385" s="1781" t="s">
        <v>95</v>
      </c>
      <c r="H1385" s="1781"/>
      <c r="I1385" s="233" t="s">
        <v>2864</v>
      </c>
      <c r="J1385" s="1385" t="s">
        <v>2865</v>
      </c>
      <c r="K1385" s="2205">
        <v>600</v>
      </c>
      <c r="L1385" s="2186">
        <v>2135174560</v>
      </c>
      <c r="M1385" s="2205">
        <v>200</v>
      </c>
      <c r="N1385" s="2186">
        <v>506606705</v>
      </c>
      <c r="O1385" s="2205">
        <v>0</v>
      </c>
      <c r="P1385" s="2186">
        <v>0</v>
      </c>
      <c r="Q1385" s="2205">
        <v>0</v>
      </c>
      <c r="R1385" s="2186">
        <v>0</v>
      </c>
      <c r="S1385" s="2186">
        <v>0</v>
      </c>
      <c r="T1385" s="2186">
        <v>0</v>
      </c>
      <c r="U1385" s="2186">
        <v>0</v>
      </c>
      <c r="V1385" s="2186">
        <v>0</v>
      </c>
      <c r="W1385" s="2186">
        <v>0</v>
      </c>
      <c r="X1385" s="2186">
        <v>0</v>
      </c>
      <c r="Y1385" s="2205">
        <f t="shared" si="381"/>
        <v>0</v>
      </c>
      <c r="Z1385" s="2186">
        <f t="shared" si="380"/>
        <v>0</v>
      </c>
      <c r="AA1385" s="2215">
        <f>M1385+Y1385</f>
        <v>200</v>
      </c>
      <c r="AB1385" s="2209">
        <f>N1385+Z1385</f>
        <v>506606705</v>
      </c>
      <c r="AC1385" s="2210">
        <f>AA1385/K1385*100%</f>
        <v>0.33333333333333331</v>
      </c>
      <c r="AD1385" s="2210">
        <f>AB1385/L1385*100%</f>
        <v>0.23726711365463252</v>
      </c>
      <c r="AE1385" s="2207" t="s">
        <v>222</v>
      </c>
    </row>
    <row r="1386" spans="1:31" s="497" customFormat="1">
      <c r="A1386" s="384"/>
      <c r="B1386" s="384"/>
      <c r="C1386" s="384"/>
      <c r="D1386" s="384"/>
      <c r="E1386" s="384"/>
      <c r="F1386" s="384"/>
      <c r="G1386" s="384"/>
      <c r="H1386" s="384"/>
      <c r="I1386" s="741"/>
      <c r="J1386" s="384"/>
      <c r="K1386" s="2220"/>
      <c r="L1386" s="1257"/>
      <c r="M1386" s="2219"/>
      <c r="N1386" s="1257"/>
      <c r="O1386" s="2219"/>
      <c r="P1386" s="1257"/>
      <c r="Q1386" s="2219"/>
      <c r="R1386" s="1257"/>
      <c r="S1386" s="1257"/>
      <c r="T1386" s="1257"/>
      <c r="U1386" s="1257"/>
      <c r="V1386" s="1257"/>
      <c r="W1386" s="1257"/>
      <c r="X1386" s="1257"/>
      <c r="Y1386" s="2219"/>
      <c r="Z1386" s="1257"/>
      <c r="AA1386" s="1254"/>
      <c r="AB1386" s="1267"/>
      <c r="AC1386" s="2222"/>
      <c r="AD1386" s="1995"/>
      <c r="AE1386" s="390"/>
    </row>
    <row r="1387" spans="1:31" s="621" customFormat="1" ht="61.5" customHeight="1">
      <c r="A1387" s="1236" t="s">
        <v>197</v>
      </c>
      <c r="B1387" s="383" t="s">
        <v>2866</v>
      </c>
      <c r="C1387" s="1236">
        <v>3</v>
      </c>
      <c r="D1387" s="1236" t="s">
        <v>107</v>
      </c>
      <c r="E1387" s="1236" t="s">
        <v>196</v>
      </c>
      <c r="F1387" s="1236">
        <v>15</v>
      </c>
      <c r="G1387" s="383"/>
      <c r="H1387" s="383"/>
      <c r="I1387" s="344" t="s">
        <v>2867</v>
      </c>
      <c r="J1387" s="383" t="s">
        <v>2868</v>
      </c>
      <c r="K1387" s="1198"/>
      <c r="L1387" s="1211">
        <f>L1389</f>
        <v>116000000</v>
      </c>
      <c r="M1387" s="383"/>
      <c r="N1387" s="2231">
        <f>N1389</f>
        <v>14802291</v>
      </c>
      <c r="O1387" s="2219"/>
      <c r="P1387" s="2231">
        <f>P1389</f>
        <v>16000000</v>
      </c>
      <c r="Q1387" s="2219"/>
      <c r="R1387" s="1257"/>
      <c r="S1387" s="1257"/>
      <c r="T1387" s="1257"/>
      <c r="U1387" s="1257"/>
      <c r="V1387" s="1257"/>
      <c r="W1387" s="1257"/>
      <c r="X1387" s="1257"/>
      <c r="Y1387" s="2219"/>
      <c r="Z1387" s="1257"/>
      <c r="AA1387" s="1254"/>
      <c r="AB1387" s="1267"/>
      <c r="AC1387" s="2232"/>
      <c r="AD1387" s="1995"/>
      <c r="AE1387" s="753"/>
    </row>
    <row r="1388" spans="1:31" s="497" customFormat="1">
      <c r="A1388" s="384"/>
      <c r="B1388" s="384"/>
      <c r="C1388" s="384"/>
      <c r="D1388" s="384"/>
      <c r="E1388" s="384"/>
      <c r="F1388" s="384"/>
      <c r="G1388" s="384"/>
      <c r="H1388" s="384"/>
      <c r="I1388" s="741"/>
      <c r="J1388" s="384"/>
      <c r="K1388" s="2220"/>
      <c r="L1388" s="1257"/>
      <c r="M1388" s="2219"/>
      <c r="N1388" s="1257"/>
      <c r="O1388" s="2219"/>
      <c r="P1388" s="1257"/>
      <c r="Q1388" s="2219"/>
      <c r="R1388" s="1257"/>
      <c r="S1388" s="1257"/>
      <c r="T1388" s="1257"/>
      <c r="U1388" s="1257"/>
      <c r="V1388" s="1257"/>
      <c r="W1388" s="1257"/>
      <c r="X1388" s="1257"/>
      <c r="Y1388" s="2219"/>
      <c r="Z1388" s="1257"/>
      <c r="AA1388" s="1254"/>
      <c r="AB1388" s="1267"/>
      <c r="AC1388" s="2222"/>
      <c r="AD1388" s="1995"/>
      <c r="AE1388" s="390"/>
    </row>
    <row r="1389" spans="1:31" s="2233" customFormat="1" ht="57" customHeight="1">
      <c r="A1389" s="1385"/>
      <c r="B1389" s="1385"/>
      <c r="C1389" s="2191">
        <v>3</v>
      </c>
      <c r="D1389" s="2191" t="s">
        <v>107</v>
      </c>
      <c r="E1389" s="2191" t="s">
        <v>196</v>
      </c>
      <c r="F1389" s="2191">
        <v>15</v>
      </c>
      <c r="G1389" s="1385">
        <v>10</v>
      </c>
      <c r="H1389" s="1385"/>
      <c r="I1389" s="2597" t="s">
        <v>2869</v>
      </c>
      <c r="J1389" s="2388" t="s">
        <v>2870</v>
      </c>
      <c r="K1389" s="2205">
        <v>500</v>
      </c>
      <c r="L1389" s="2186">
        <v>116000000</v>
      </c>
      <c r="M1389" s="2205">
        <v>100</v>
      </c>
      <c r="N1389" s="2186">
        <v>14802291</v>
      </c>
      <c r="O1389" s="2215">
        <v>1</v>
      </c>
      <c r="P1389" s="2186">
        <v>16000000</v>
      </c>
      <c r="Q1389" s="2205">
        <v>25</v>
      </c>
      <c r="R1389" s="2186">
        <v>0</v>
      </c>
      <c r="S1389" s="2186">
        <v>0</v>
      </c>
      <c r="T1389" s="2186">
        <v>0</v>
      </c>
      <c r="U1389" s="2186">
        <v>0</v>
      </c>
      <c r="V1389" s="2186">
        <v>0</v>
      </c>
      <c r="W1389" s="2186">
        <v>0</v>
      </c>
      <c r="X1389" s="2186">
        <v>0</v>
      </c>
      <c r="Y1389" s="2215">
        <v>0.25</v>
      </c>
      <c r="Z1389" s="2186">
        <v>0</v>
      </c>
      <c r="AA1389" s="2215">
        <f>M1389+Y1389</f>
        <v>100.25</v>
      </c>
      <c r="AB1389" s="2209">
        <f>N1389+Z1389</f>
        <v>14802291</v>
      </c>
      <c r="AC1389" s="2210">
        <f>AA1389/K1389*100%</f>
        <v>0.20050000000000001</v>
      </c>
      <c r="AD1389" s="2210">
        <f>AB1389/L1389*100%</f>
        <v>0.12760595689655171</v>
      </c>
      <c r="AE1389" s="2207" t="s">
        <v>222</v>
      </c>
    </row>
    <row r="1390" spans="1:31" s="497" customFormat="1" ht="28.5" customHeight="1">
      <c r="A1390" s="384"/>
      <c r="B1390" s="384"/>
      <c r="C1390" s="384"/>
      <c r="D1390" s="384"/>
      <c r="E1390" s="384"/>
      <c r="F1390" s="384"/>
      <c r="G1390" s="384"/>
      <c r="H1390" s="384"/>
      <c r="I1390" s="2597"/>
      <c r="J1390" s="2388"/>
      <c r="K1390" s="2220"/>
      <c r="L1390" s="1257"/>
      <c r="M1390" s="2219"/>
      <c r="N1390" s="1257"/>
      <c r="O1390" s="2219"/>
      <c r="P1390" s="1257"/>
      <c r="Q1390" s="2219"/>
      <c r="R1390" s="1257"/>
      <c r="S1390" s="1257"/>
      <c r="T1390" s="1257"/>
      <c r="U1390" s="1257"/>
      <c r="V1390" s="1257"/>
      <c r="W1390" s="1257"/>
      <c r="X1390" s="1257"/>
      <c r="Y1390" s="2219"/>
      <c r="Z1390" s="1257"/>
      <c r="AA1390" s="1254"/>
      <c r="AB1390" s="1267"/>
      <c r="AC1390" s="2222"/>
      <c r="AD1390" s="1995"/>
      <c r="AE1390" s="390"/>
    </row>
    <row r="1391" spans="1:31" s="621" customFormat="1" ht="93" customHeight="1">
      <c r="A1391" s="1236" t="s">
        <v>198</v>
      </c>
      <c r="B1391" s="383" t="s">
        <v>2871</v>
      </c>
      <c r="C1391" s="1236">
        <v>3</v>
      </c>
      <c r="D1391" s="1236" t="s">
        <v>107</v>
      </c>
      <c r="E1391" s="1236" t="s">
        <v>196</v>
      </c>
      <c r="F1391" s="1236">
        <v>20</v>
      </c>
      <c r="G1391" s="383"/>
      <c r="H1391" s="383"/>
      <c r="I1391" s="344" t="s">
        <v>2872</v>
      </c>
      <c r="J1391" s="383" t="s">
        <v>2873</v>
      </c>
      <c r="K1391" s="1198"/>
      <c r="L1391" s="1255">
        <f>L1393</f>
        <v>838611213</v>
      </c>
      <c r="M1391" s="383"/>
      <c r="N1391" s="2231">
        <f>N1393</f>
        <v>257419968</v>
      </c>
      <c r="O1391" s="2219"/>
      <c r="P1391" s="2231">
        <f>P1393</f>
        <v>118893022</v>
      </c>
      <c r="Q1391" s="2219"/>
      <c r="R1391" s="1257"/>
      <c r="S1391" s="1257"/>
      <c r="T1391" s="1257"/>
      <c r="U1391" s="1257"/>
      <c r="V1391" s="1257"/>
      <c r="W1391" s="1257"/>
      <c r="X1391" s="1257"/>
      <c r="Y1391" s="2219"/>
      <c r="Z1391" s="1257"/>
      <c r="AA1391" s="1254"/>
      <c r="AB1391" s="1267"/>
      <c r="AC1391" s="2232"/>
      <c r="AD1391" s="1995"/>
      <c r="AE1391" s="753"/>
    </row>
    <row r="1392" spans="1:31" s="497" customFormat="1">
      <c r="A1392" s="384"/>
      <c r="B1392" s="384"/>
      <c r="C1392" s="384"/>
      <c r="D1392" s="384"/>
      <c r="E1392" s="384"/>
      <c r="F1392" s="384"/>
      <c r="G1392" s="384"/>
      <c r="H1392" s="384"/>
      <c r="I1392" s="741"/>
      <c r="J1392" s="384"/>
      <c r="K1392" s="2220"/>
      <c r="L1392" s="1257"/>
      <c r="M1392" s="2219"/>
      <c r="N1392" s="1257"/>
      <c r="O1392" s="2219"/>
      <c r="P1392" s="1257"/>
      <c r="Q1392" s="2219"/>
      <c r="R1392" s="1257"/>
      <c r="S1392" s="1257"/>
      <c r="T1392" s="1257"/>
      <c r="U1392" s="1257"/>
      <c r="V1392" s="1257"/>
      <c r="W1392" s="1257"/>
      <c r="X1392" s="1257"/>
      <c r="Y1392" s="2219"/>
      <c r="Z1392" s="1257"/>
      <c r="AA1392" s="1254"/>
      <c r="AB1392" s="1267"/>
      <c r="AC1392" s="2222"/>
      <c r="AD1392" s="1995"/>
      <c r="AE1392" s="390"/>
    </row>
    <row r="1393" spans="1:31" s="2233" customFormat="1" ht="66" customHeight="1">
      <c r="A1393" s="1385"/>
      <c r="B1393" s="1385"/>
      <c r="C1393" s="2191">
        <v>3</v>
      </c>
      <c r="D1393" s="2191" t="s">
        <v>107</v>
      </c>
      <c r="E1393" s="2191" t="s">
        <v>196</v>
      </c>
      <c r="F1393" s="2191">
        <v>20</v>
      </c>
      <c r="G1393" s="1781">
        <v>33</v>
      </c>
      <c r="H1393" s="1781"/>
      <c r="I1393" s="2211" t="s">
        <v>2874</v>
      </c>
      <c r="J1393" s="1385" t="s">
        <v>2875</v>
      </c>
      <c r="K1393" s="2205">
        <v>600</v>
      </c>
      <c r="L1393" s="2186">
        <v>838611213</v>
      </c>
      <c r="M1393" s="2205">
        <v>200</v>
      </c>
      <c r="N1393" s="2186">
        <v>257419968</v>
      </c>
      <c r="O1393" s="2205">
        <v>100</v>
      </c>
      <c r="P1393" s="2186">
        <v>118893022</v>
      </c>
      <c r="Q1393" s="2205">
        <v>25</v>
      </c>
      <c r="R1393" s="2186">
        <v>0</v>
      </c>
      <c r="S1393" s="2186">
        <v>0</v>
      </c>
      <c r="T1393" s="2186">
        <v>0</v>
      </c>
      <c r="U1393" s="2186">
        <v>0</v>
      </c>
      <c r="V1393" s="2186">
        <v>0</v>
      </c>
      <c r="W1393" s="2186">
        <v>0</v>
      </c>
      <c r="X1393" s="2186">
        <v>0</v>
      </c>
      <c r="Y1393" s="2215">
        <f t="shared" si="381"/>
        <v>25</v>
      </c>
      <c r="Z1393" s="2186">
        <f t="shared" si="380"/>
        <v>0</v>
      </c>
      <c r="AA1393" s="2215">
        <f>M1393+Y1393</f>
        <v>225</v>
      </c>
      <c r="AB1393" s="2209">
        <f>N1393+Z1393</f>
        <v>257419968</v>
      </c>
      <c r="AC1393" s="2210">
        <f>AA1393/K1393*100%</f>
        <v>0.375</v>
      </c>
      <c r="AD1393" s="2210">
        <f>AB1393/L1393*100%</f>
        <v>0.30695984505039048</v>
      </c>
      <c r="AE1393" s="2207" t="s">
        <v>222</v>
      </c>
    </row>
    <row r="1394" spans="1:31" s="497" customFormat="1">
      <c r="A1394" s="384"/>
      <c r="B1394" s="384"/>
      <c r="C1394" s="384"/>
      <c r="D1394" s="384"/>
      <c r="E1394" s="384"/>
      <c r="F1394" s="384"/>
      <c r="G1394" s="384"/>
      <c r="H1394" s="384"/>
      <c r="I1394" s="1200"/>
      <c r="J1394" s="384"/>
      <c r="K1394" s="2220"/>
      <c r="L1394" s="1257"/>
      <c r="M1394" s="2219"/>
      <c r="N1394" s="1257"/>
      <c r="O1394" s="2219"/>
      <c r="P1394" s="1257"/>
      <c r="Q1394" s="2219"/>
      <c r="R1394" s="1257"/>
      <c r="S1394" s="1257"/>
      <c r="T1394" s="1257"/>
      <c r="U1394" s="1257"/>
      <c r="V1394" s="1257"/>
      <c r="W1394" s="1257"/>
      <c r="X1394" s="1257"/>
      <c r="Y1394" s="2219"/>
      <c r="Z1394" s="1257"/>
      <c r="AA1394" s="1254"/>
      <c r="AB1394" s="1267"/>
      <c r="AC1394" s="2222"/>
      <c r="AD1394" s="1995"/>
      <c r="AE1394" s="390"/>
    </row>
    <row r="1395" spans="1:31" s="497" customFormat="1">
      <c r="A1395" s="384"/>
      <c r="B1395" s="384"/>
      <c r="C1395" s="384"/>
      <c r="D1395" s="384"/>
      <c r="E1395" s="384"/>
      <c r="F1395" s="384"/>
      <c r="G1395" s="384"/>
      <c r="H1395" s="384"/>
      <c r="I1395" s="1248"/>
      <c r="J1395" s="384"/>
      <c r="K1395" s="2220"/>
      <c r="L1395" s="1257"/>
      <c r="M1395" s="2219"/>
      <c r="N1395" s="1257"/>
      <c r="O1395" s="2219"/>
      <c r="P1395" s="1257"/>
      <c r="Q1395" s="2219"/>
      <c r="R1395" s="1257"/>
      <c r="S1395" s="1257"/>
      <c r="T1395" s="1257"/>
      <c r="U1395" s="1257"/>
      <c r="V1395" s="1257"/>
      <c r="W1395" s="1257"/>
      <c r="X1395" s="1257"/>
      <c r="Y1395" s="2219"/>
      <c r="Z1395" s="1257"/>
      <c r="AA1395" s="1254"/>
      <c r="AB1395" s="1267"/>
      <c r="AC1395" s="2222"/>
      <c r="AD1395" s="1995"/>
      <c r="AE1395" s="390"/>
    </row>
    <row r="1396" spans="1:31" s="621" customFormat="1" ht="60.75" customHeight="1">
      <c r="A1396" s="2191" t="s">
        <v>93</v>
      </c>
      <c r="B1396" s="2589" t="s">
        <v>2876</v>
      </c>
      <c r="C1396" s="2191">
        <v>3</v>
      </c>
      <c r="D1396" s="2191" t="s">
        <v>107</v>
      </c>
      <c r="E1396" s="2191" t="s">
        <v>196</v>
      </c>
      <c r="F1396" s="2191">
        <v>17</v>
      </c>
      <c r="G1396" s="1374"/>
      <c r="H1396" s="1374"/>
      <c r="I1396" s="2192" t="s">
        <v>2704</v>
      </c>
      <c r="J1396" s="2234" t="s">
        <v>2877</v>
      </c>
      <c r="K1396" s="2235">
        <v>4</v>
      </c>
      <c r="L1396" s="2236"/>
      <c r="M1396" s="2237">
        <v>4</v>
      </c>
      <c r="N1396" s="2199"/>
      <c r="O1396" s="2237">
        <v>4</v>
      </c>
      <c r="P1396" s="2238"/>
      <c r="Q1396" s="2239"/>
      <c r="R1396" s="2186"/>
      <c r="S1396" s="2186"/>
      <c r="T1396" s="2186"/>
      <c r="U1396" s="2186"/>
      <c r="V1396" s="2186"/>
      <c r="W1396" s="2186"/>
      <c r="X1396" s="2186"/>
      <c r="Y1396" s="2205"/>
      <c r="Z1396" s="2186"/>
      <c r="AA1396" s="2215"/>
      <c r="AB1396" s="2209"/>
      <c r="AC1396" s="2202"/>
      <c r="AD1396" s="2216"/>
      <c r="AE1396" s="2203"/>
    </row>
    <row r="1397" spans="1:31" s="621" customFormat="1" ht="69.75" customHeight="1">
      <c r="A1397" s="1374"/>
      <c r="B1397" s="2589"/>
      <c r="C1397" s="2191"/>
      <c r="D1397" s="2191"/>
      <c r="E1397" s="2191"/>
      <c r="F1397" s="2191"/>
      <c r="G1397" s="1374"/>
      <c r="H1397" s="1374"/>
      <c r="I1397" s="2212"/>
      <c r="J1397" s="2234" t="s">
        <v>2878</v>
      </c>
      <c r="K1397" s="2240">
        <v>0.75</v>
      </c>
      <c r="L1397" s="2236"/>
      <c r="M1397" s="2240">
        <v>0.75</v>
      </c>
      <c r="N1397" s="2199"/>
      <c r="O1397" s="2240">
        <v>0.75</v>
      </c>
      <c r="P1397" s="2238"/>
      <c r="Q1397" s="2239"/>
      <c r="R1397" s="2186"/>
      <c r="S1397" s="2186"/>
      <c r="T1397" s="2186"/>
      <c r="U1397" s="2186"/>
      <c r="V1397" s="2186"/>
      <c r="W1397" s="2186"/>
      <c r="X1397" s="2186"/>
      <c r="Y1397" s="2205"/>
      <c r="Z1397" s="2186"/>
      <c r="AA1397" s="2215"/>
      <c r="AB1397" s="2209"/>
      <c r="AC1397" s="2202"/>
      <c r="AD1397" s="2216"/>
      <c r="AE1397" s="2203"/>
    </row>
    <row r="1398" spans="1:31" s="621" customFormat="1" ht="69.75" customHeight="1">
      <c r="A1398" s="1374"/>
      <c r="B1398" s="2234"/>
      <c r="C1398" s="2191"/>
      <c r="D1398" s="2191"/>
      <c r="E1398" s="2191"/>
      <c r="F1398" s="2191"/>
      <c r="G1398" s="1374"/>
      <c r="H1398" s="1374"/>
      <c r="I1398" s="2212"/>
      <c r="J1398" s="2187" t="s">
        <v>2879</v>
      </c>
      <c r="K1398" s="2240">
        <v>1</v>
      </c>
      <c r="L1398" s="2236"/>
      <c r="M1398" s="2240">
        <v>1</v>
      </c>
      <c r="N1398" s="2199"/>
      <c r="O1398" s="2240">
        <v>1</v>
      </c>
      <c r="P1398" s="2238"/>
      <c r="Q1398" s="2239"/>
      <c r="R1398" s="2186"/>
      <c r="S1398" s="2186"/>
      <c r="T1398" s="2186"/>
      <c r="U1398" s="2186"/>
      <c r="V1398" s="2186"/>
      <c r="W1398" s="2186"/>
      <c r="X1398" s="2186"/>
      <c r="Y1398" s="2205"/>
      <c r="Z1398" s="2186"/>
      <c r="AA1398" s="2215"/>
      <c r="AB1398" s="2209"/>
      <c r="AC1398" s="2202"/>
      <c r="AD1398" s="2216"/>
      <c r="AE1398" s="2203"/>
    </row>
    <row r="1399" spans="1:31" s="621" customFormat="1" ht="58.5" customHeight="1">
      <c r="A1399" s="1374"/>
      <c r="B1399" s="1374"/>
      <c r="C1399" s="2191">
        <v>3</v>
      </c>
      <c r="D1399" s="2191" t="s">
        <v>107</v>
      </c>
      <c r="E1399" s="2191" t="s">
        <v>196</v>
      </c>
      <c r="F1399" s="2191">
        <v>17</v>
      </c>
      <c r="G1399" s="2191" t="s">
        <v>65</v>
      </c>
      <c r="H1399" s="2191"/>
      <c r="I1399" s="1762" t="s">
        <v>2880</v>
      </c>
      <c r="J1399" s="1380" t="s">
        <v>2881</v>
      </c>
      <c r="K1399" s="2241">
        <v>790</v>
      </c>
      <c r="L1399" s="2242">
        <v>486666048</v>
      </c>
      <c r="M1399" s="2205">
        <v>230</v>
      </c>
      <c r="N1399" s="2186">
        <v>160014900</v>
      </c>
      <c r="O1399" s="2205">
        <v>0</v>
      </c>
      <c r="P1399" s="2186">
        <v>0</v>
      </c>
      <c r="Q1399" s="2239">
        <v>0</v>
      </c>
      <c r="R1399" s="2186">
        <v>0</v>
      </c>
      <c r="S1399" s="2186">
        <v>0</v>
      </c>
      <c r="T1399" s="2186">
        <v>0</v>
      </c>
      <c r="U1399" s="2186">
        <v>0</v>
      </c>
      <c r="V1399" s="2186">
        <v>0</v>
      </c>
      <c r="W1399" s="2186">
        <v>0</v>
      </c>
      <c r="X1399" s="2186">
        <v>0</v>
      </c>
      <c r="Y1399" s="2205">
        <f t="shared" si="381"/>
        <v>0</v>
      </c>
      <c r="Z1399" s="2186">
        <f t="shared" si="380"/>
        <v>0</v>
      </c>
      <c r="AA1399" s="2205">
        <f t="shared" ref="AA1399:AB1436" si="386">M1399+Y1399</f>
        <v>230</v>
      </c>
      <c r="AB1399" s="2209">
        <f t="shared" si="386"/>
        <v>160014900</v>
      </c>
      <c r="AC1399" s="2210">
        <f t="shared" ref="AC1399:AD1436" si="387">AA1399/K1399*100%</f>
        <v>0.29113924050632911</v>
      </c>
      <c r="AD1399" s="2210">
        <f t="shared" si="387"/>
        <v>0.32879815770505527</v>
      </c>
      <c r="AE1399" s="2207" t="s">
        <v>222</v>
      </c>
    </row>
    <row r="1400" spans="1:31" s="621" customFormat="1" ht="61.5" customHeight="1">
      <c r="A1400" s="1374"/>
      <c r="B1400" s="1374"/>
      <c r="C1400" s="2191">
        <v>3</v>
      </c>
      <c r="D1400" s="2191" t="s">
        <v>107</v>
      </c>
      <c r="E1400" s="2191" t="s">
        <v>196</v>
      </c>
      <c r="F1400" s="2191">
        <v>17</v>
      </c>
      <c r="G1400" s="2191" t="s">
        <v>197</v>
      </c>
      <c r="H1400" s="2191"/>
      <c r="I1400" s="1762" t="s">
        <v>2882</v>
      </c>
      <c r="J1400" s="1380" t="s">
        <v>2883</v>
      </c>
      <c r="K1400" s="2243">
        <v>600</v>
      </c>
      <c r="L1400" s="2242">
        <v>1221430489</v>
      </c>
      <c r="M1400" s="2205">
        <v>200</v>
      </c>
      <c r="N1400" s="2186">
        <v>357334505</v>
      </c>
      <c r="O1400" s="2205">
        <v>100</v>
      </c>
      <c r="P1400" s="2186">
        <v>196890457</v>
      </c>
      <c r="Q1400" s="2244">
        <v>0</v>
      </c>
      <c r="R1400" s="2186">
        <v>42616407</v>
      </c>
      <c r="S1400" s="2186">
        <v>0</v>
      </c>
      <c r="T1400" s="2186">
        <v>0</v>
      </c>
      <c r="U1400" s="2186">
        <v>0</v>
      </c>
      <c r="V1400" s="2186">
        <v>0</v>
      </c>
      <c r="W1400" s="2186">
        <v>0</v>
      </c>
      <c r="X1400" s="2186">
        <v>0</v>
      </c>
      <c r="Y1400" s="2205">
        <f t="shared" si="381"/>
        <v>0</v>
      </c>
      <c r="Z1400" s="2186">
        <f t="shared" si="380"/>
        <v>42616407</v>
      </c>
      <c r="AA1400" s="2205">
        <f t="shared" si="386"/>
        <v>200</v>
      </c>
      <c r="AB1400" s="2209">
        <f t="shared" si="386"/>
        <v>399950912</v>
      </c>
      <c r="AC1400" s="2210">
        <f t="shared" si="387"/>
        <v>0.33333333333333331</v>
      </c>
      <c r="AD1400" s="2210">
        <f t="shared" si="387"/>
        <v>0.32744467704211699</v>
      </c>
      <c r="AE1400" s="2207" t="s">
        <v>222</v>
      </c>
    </row>
    <row r="1401" spans="1:31" s="621" customFormat="1" ht="57.75" customHeight="1">
      <c r="A1401" s="1374"/>
      <c r="B1401" s="1374"/>
      <c r="C1401" s="2191">
        <v>3</v>
      </c>
      <c r="D1401" s="2191" t="s">
        <v>107</v>
      </c>
      <c r="E1401" s="2191" t="s">
        <v>196</v>
      </c>
      <c r="F1401" s="2191">
        <v>17</v>
      </c>
      <c r="G1401" s="2191" t="s">
        <v>198</v>
      </c>
      <c r="H1401" s="2191"/>
      <c r="I1401" s="1762" t="s">
        <v>2884</v>
      </c>
      <c r="J1401" s="1380" t="s">
        <v>2885</v>
      </c>
      <c r="K1401" s="2243">
        <v>600</v>
      </c>
      <c r="L1401" s="2242">
        <v>1058850607</v>
      </c>
      <c r="M1401" s="2205">
        <v>200</v>
      </c>
      <c r="N1401" s="2186">
        <v>281189370</v>
      </c>
      <c r="O1401" s="2205">
        <v>100</v>
      </c>
      <c r="P1401" s="2186">
        <v>167936775</v>
      </c>
      <c r="Q1401" s="2245">
        <v>0</v>
      </c>
      <c r="R1401" s="2186">
        <v>46548395</v>
      </c>
      <c r="S1401" s="2186">
        <v>0</v>
      </c>
      <c r="T1401" s="2186">
        <v>0</v>
      </c>
      <c r="U1401" s="2186">
        <v>0</v>
      </c>
      <c r="V1401" s="2186">
        <v>0</v>
      </c>
      <c r="W1401" s="2186">
        <v>0</v>
      </c>
      <c r="X1401" s="2186">
        <v>0</v>
      </c>
      <c r="Y1401" s="2205">
        <f>Q1401</f>
        <v>0</v>
      </c>
      <c r="Z1401" s="2186">
        <f t="shared" si="380"/>
        <v>46548395</v>
      </c>
      <c r="AA1401" s="2205">
        <f t="shared" si="386"/>
        <v>200</v>
      </c>
      <c r="AB1401" s="2209">
        <f t="shared" si="386"/>
        <v>327737765</v>
      </c>
      <c r="AC1401" s="2210">
        <f t="shared" si="387"/>
        <v>0.33333333333333331</v>
      </c>
      <c r="AD1401" s="2210">
        <f t="shared" si="387"/>
        <v>0.30952219589179497</v>
      </c>
      <c r="AE1401" s="2207" t="s">
        <v>222</v>
      </c>
    </row>
    <row r="1402" spans="1:31" s="621" customFormat="1" ht="57" customHeight="1">
      <c r="A1402" s="1374"/>
      <c r="B1402" s="1374"/>
      <c r="C1402" s="2191">
        <v>3</v>
      </c>
      <c r="D1402" s="2191" t="s">
        <v>107</v>
      </c>
      <c r="E1402" s="2191" t="s">
        <v>196</v>
      </c>
      <c r="F1402" s="2191">
        <v>17</v>
      </c>
      <c r="G1402" s="2191" t="s">
        <v>93</v>
      </c>
      <c r="H1402" s="2191"/>
      <c r="I1402" s="1762" t="s">
        <v>2886</v>
      </c>
      <c r="J1402" s="1380" t="s">
        <v>2887</v>
      </c>
      <c r="K1402" s="2243">
        <v>600</v>
      </c>
      <c r="L1402" s="2242">
        <v>1711872584</v>
      </c>
      <c r="M1402" s="2205">
        <v>200</v>
      </c>
      <c r="N1402" s="2186">
        <v>284256381</v>
      </c>
      <c r="O1402" s="2205">
        <v>100</v>
      </c>
      <c r="P1402" s="2186">
        <v>153557528</v>
      </c>
      <c r="Q1402" s="2245">
        <v>0</v>
      </c>
      <c r="R1402" s="2186">
        <v>0</v>
      </c>
      <c r="S1402" s="2186">
        <v>0</v>
      </c>
      <c r="T1402" s="2186">
        <v>0</v>
      </c>
      <c r="U1402" s="2186">
        <v>0</v>
      </c>
      <c r="V1402" s="2186">
        <v>0</v>
      </c>
      <c r="W1402" s="2186">
        <v>0</v>
      </c>
      <c r="X1402" s="2186">
        <v>0</v>
      </c>
      <c r="Y1402" s="2205">
        <f>Q1402</f>
        <v>0</v>
      </c>
      <c r="Z1402" s="2186">
        <f t="shared" si="380"/>
        <v>0</v>
      </c>
      <c r="AA1402" s="2205">
        <f t="shared" si="386"/>
        <v>200</v>
      </c>
      <c r="AB1402" s="2209">
        <f t="shared" si="386"/>
        <v>284256381</v>
      </c>
      <c r="AC1402" s="2210">
        <f t="shared" si="387"/>
        <v>0.33333333333333331</v>
      </c>
      <c r="AD1402" s="2210">
        <f t="shared" si="387"/>
        <v>0.16604996403166886</v>
      </c>
      <c r="AE1402" s="2207" t="s">
        <v>222</v>
      </c>
    </row>
    <row r="1403" spans="1:31" s="621" customFormat="1" ht="65.25" customHeight="1">
      <c r="A1403" s="1374"/>
      <c r="B1403" s="1374"/>
      <c r="C1403" s="2191">
        <v>3</v>
      </c>
      <c r="D1403" s="2191" t="s">
        <v>107</v>
      </c>
      <c r="E1403" s="2191" t="s">
        <v>196</v>
      </c>
      <c r="F1403" s="2191">
        <v>17</v>
      </c>
      <c r="G1403" s="2191" t="s">
        <v>201</v>
      </c>
      <c r="H1403" s="2191"/>
      <c r="I1403" s="1762" t="s">
        <v>2888</v>
      </c>
      <c r="J1403" s="1380" t="s">
        <v>2889</v>
      </c>
      <c r="K1403" s="2243">
        <v>600</v>
      </c>
      <c r="L1403" s="2242">
        <v>1071506464</v>
      </c>
      <c r="M1403" s="2205">
        <v>200</v>
      </c>
      <c r="N1403" s="2186">
        <v>280639120</v>
      </c>
      <c r="O1403" s="2205">
        <v>100</v>
      </c>
      <c r="P1403" s="2186">
        <v>151435488</v>
      </c>
      <c r="Q1403" s="2245">
        <v>0</v>
      </c>
      <c r="R1403" s="2186">
        <v>0</v>
      </c>
      <c r="S1403" s="2186">
        <v>0</v>
      </c>
      <c r="T1403" s="2186">
        <v>0</v>
      </c>
      <c r="U1403" s="2186">
        <v>0</v>
      </c>
      <c r="V1403" s="2186">
        <v>0</v>
      </c>
      <c r="W1403" s="2186">
        <v>0</v>
      </c>
      <c r="X1403" s="2186">
        <v>0</v>
      </c>
      <c r="Y1403" s="2205">
        <f t="shared" si="381"/>
        <v>0</v>
      </c>
      <c r="Z1403" s="2186">
        <f t="shared" si="380"/>
        <v>0</v>
      </c>
      <c r="AA1403" s="2205">
        <f t="shared" si="386"/>
        <v>200</v>
      </c>
      <c r="AB1403" s="2209">
        <f t="shared" si="386"/>
        <v>280639120</v>
      </c>
      <c r="AC1403" s="2210">
        <f t="shared" si="387"/>
        <v>0.33333333333333331</v>
      </c>
      <c r="AD1403" s="2210">
        <f t="shared" si="387"/>
        <v>0.26191080448768994</v>
      </c>
      <c r="AE1403" s="2207" t="s">
        <v>222</v>
      </c>
    </row>
    <row r="1404" spans="1:31" s="621" customFormat="1" ht="76.5" customHeight="1">
      <c r="A1404" s="1374"/>
      <c r="B1404" s="1374"/>
      <c r="C1404" s="2191">
        <v>3</v>
      </c>
      <c r="D1404" s="2191" t="s">
        <v>107</v>
      </c>
      <c r="E1404" s="2191" t="s">
        <v>196</v>
      </c>
      <c r="F1404" s="2191">
        <v>17</v>
      </c>
      <c r="G1404" s="1374">
        <v>10</v>
      </c>
      <c r="H1404" s="1374"/>
      <c r="I1404" s="1762" t="s">
        <v>2890</v>
      </c>
      <c r="J1404" s="1380" t="s">
        <v>2891</v>
      </c>
      <c r="K1404" s="2243">
        <v>540</v>
      </c>
      <c r="L1404" s="2242">
        <v>850803806</v>
      </c>
      <c r="M1404" s="2205">
        <v>180</v>
      </c>
      <c r="N1404" s="2186">
        <v>204884903</v>
      </c>
      <c r="O1404" s="2205">
        <v>90</v>
      </c>
      <c r="P1404" s="2186">
        <v>110112302</v>
      </c>
      <c r="Q1404" s="2245">
        <v>0</v>
      </c>
      <c r="R1404" s="2186">
        <v>7112966</v>
      </c>
      <c r="S1404" s="2186">
        <v>0</v>
      </c>
      <c r="T1404" s="2186">
        <v>0</v>
      </c>
      <c r="U1404" s="2186">
        <v>0</v>
      </c>
      <c r="V1404" s="2186">
        <v>0</v>
      </c>
      <c r="W1404" s="2186">
        <v>0</v>
      </c>
      <c r="X1404" s="2186">
        <v>0</v>
      </c>
      <c r="Y1404" s="2205">
        <f t="shared" si="381"/>
        <v>0</v>
      </c>
      <c r="Z1404" s="2186">
        <f t="shared" si="380"/>
        <v>7112966</v>
      </c>
      <c r="AA1404" s="2205">
        <f t="shared" si="386"/>
        <v>180</v>
      </c>
      <c r="AB1404" s="2209">
        <f t="shared" si="386"/>
        <v>211997869</v>
      </c>
      <c r="AC1404" s="2210">
        <f t="shared" si="387"/>
        <v>0.33333333333333331</v>
      </c>
      <c r="AD1404" s="2210">
        <f t="shared" si="387"/>
        <v>0.24917362558201814</v>
      </c>
      <c r="AE1404" s="2207" t="s">
        <v>222</v>
      </c>
    </row>
    <row r="1405" spans="1:31" s="621" customFormat="1" ht="83.25" customHeight="1">
      <c r="A1405" s="1374"/>
      <c r="B1405" s="1374"/>
      <c r="C1405" s="2191">
        <v>3</v>
      </c>
      <c r="D1405" s="2191" t="s">
        <v>107</v>
      </c>
      <c r="E1405" s="2191" t="s">
        <v>196</v>
      </c>
      <c r="F1405" s="2191">
        <v>17</v>
      </c>
      <c r="G1405" s="1374">
        <v>11</v>
      </c>
      <c r="H1405" s="1374"/>
      <c r="I1405" s="1762" t="s">
        <v>2892</v>
      </c>
      <c r="J1405" s="1380" t="s">
        <v>2891</v>
      </c>
      <c r="K1405" s="2243">
        <v>540</v>
      </c>
      <c r="L1405" s="2242">
        <v>841680012</v>
      </c>
      <c r="M1405" s="2205">
        <v>180</v>
      </c>
      <c r="N1405" s="2186">
        <v>194962670</v>
      </c>
      <c r="O1405" s="2205">
        <v>90</v>
      </c>
      <c r="P1405" s="2186">
        <v>113935421</v>
      </c>
      <c r="Q1405" s="2245">
        <v>0</v>
      </c>
      <c r="R1405" s="2186">
        <v>7139115</v>
      </c>
      <c r="S1405" s="2186">
        <v>0</v>
      </c>
      <c r="T1405" s="2186">
        <v>0</v>
      </c>
      <c r="U1405" s="2186">
        <v>0</v>
      </c>
      <c r="V1405" s="2186">
        <v>0</v>
      </c>
      <c r="W1405" s="2186">
        <v>0</v>
      </c>
      <c r="X1405" s="2186">
        <v>0</v>
      </c>
      <c r="Y1405" s="2205">
        <f t="shared" si="381"/>
        <v>0</v>
      </c>
      <c r="Z1405" s="2186">
        <f t="shared" si="380"/>
        <v>7139115</v>
      </c>
      <c r="AA1405" s="2205">
        <f t="shared" si="386"/>
        <v>180</v>
      </c>
      <c r="AB1405" s="2209">
        <f t="shared" si="386"/>
        <v>202101785</v>
      </c>
      <c r="AC1405" s="2210">
        <f t="shared" si="387"/>
        <v>0.33333333333333331</v>
      </c>
      <c r="AD1405" s="2210">
        <f t="shared" si="387"/>
        <v>0.24011712541416511</v>
      </c>
      <c r="AE1405" s="2207" t="s">
        <v>222</v>
      </c>
    </row>
    <row r="1406" spans="1:31" s="621" customFormat="1" ht="54" customHeight="1">
      <c r="A1406" s="1374"/>
      <c r="B1406" s="1374"/>
      <c r="C1406" s="2191">
        <v>3</v>
      </c>
      <c r="D1406" s="2191" t="s">
        <v>107</v>
      </c>
      <c r="E1406" s="2191" t="s">
        <v>196</v>
      </c>
      <c r="F1406" s="2191">
        <v>17</v>
      </c>
      <c r="G1406" s="1374">
        <v>20</v>
      </c>
      <c r="H1406" s="1374"/>
      <c r="I1406" s="1762" t="s">
        <v>2893</v>
      </c>
      <c r="J1406" s="1380" t="s">
        <v>2894</v>
      </c>
      <c r="K1406" s="2243">
        <v>3096</v>
      </c>
      <c r="L1406" s="2242">
        <v>818642648</v>
      </c>
      <c r="M1406" s="2205">
        <v>1032</v>
      </c>
      <c r="N1406" s="2186">
        <v>239956202</v>
      </c>
      <c r="O1406" s="2205">
        <v>516</v>
      </c>
      <c r="P1406" s="2186">
        <v>96454216</v>
      </c>
      <c r="Q1406" s="2245">
        <v>0</v>
      </c>
      <c r="R1406" s="2186">
        <v>12512102</v>
      </c>
      <c r="S1406" s="2186">
        <v>0</v>
      </c>
      <c r="T1406" s="2186">
        <v>0</v>
      </c>
      <c r="U1406" s="2186">
        <v>0</v>
      </c>
      <c r="V1406" s="2186">
        <v>0</v>
      </c>
      <c r="W1406" s="2186">
        <v>0</v>
      </c>
      <c r="X1406" s="2186">
        <v>0</v>
      </c>
      <c r="Y1406" s="2205">
        <f t="shared" si="381"/>
        <v>0</v>
      </c>
      <c r="Z1406" s="2186">
        <f t="shared" si="380"/>
        <v>12512102</v>
      </c>
      <c r="AA1406" s="2205">
        <f t="shared" si="386"/>
        <v>1032</v>
      </c>
      <c r="AB1406" s="2209">
        <f t="shared" si="386"/>
        <v>252468304</v>
      </c>
      <c r="AC1406" s="2210">
        <f t="shared" si="387"/>
        <v>0.33333333333333331</v>
      </c>
      <c r="AD1406" s="2210">
        <f t="shared" si="387"/>
        <v>0.3083986701850891</v>
      </c>
      <c r="AE1406" s="2207" t="s">
        <v>222</v>
      </c>
    </row>
    <row r="1407" spans="1:31" s="621" customFormat="1" ht="63.75" customHeight="1">
      <c r="A1407" s="1374"/>
      <c r="B1407" s="1374"/>
      <c r="C1407" s="2191">
        <v>3</v>
      </c>
      <c r="D1407" s="2191" t="s">
        <v>107</v>
      </c>
      <c r="E1407" s="2191" t="s">
        <v>196</v>
      </c>
      <c r="F1407" s="2191">
        <v>17</v>
      </c>
      <c r="G1407" s="1374">
        <v>22</v>
      </c>
      <c r="H1407" s="1374"/>
      <c r="I1407" s="1762" t="s">
        <v>2895</v>
      </c>
      <c r="J1407" s="1380" t="s">
        <v>2896</v>
      </c>
      <c r="K1407" s="2243">
        <v>72</v>
      </c>
      <c r="L1407" s="2242">
        <v>492608279</v>
      </c>
      <c r="M1407" s="2205">
        <v>24</v>
      </c>
      <c r="N1407" s="2186">
        <v>138133012</v>
      </c>
      <c r="O1407" s="2205">
        <v>12</v>
      </c>
      <c r="P1407" s="2186">
        <v>50177192</v>
      </c>
      <c r="Q1407" s="2245">
        <v>3</v>
      </c>
      <c r="R1407" s="2186">
        <v>10391975</v>
      </c>
      <c r="S1407" s="2186">
        <v>0</v>
      </c>
      <c r="T1407" s="2186">
        <v>0</v>
      </c>
      <c r="U1407" s="2186">
        <v>0</v>
      </c>
      <c r="V1407" s="2186">
        <v>0</v>
      </c>
      <c r="W1407" s="2186">
        <v>0</v>
      </c>
      <c r="X1407" s="2186">
        <v>0</v>
      </c>
      <c r="Y1407" s="2205">
        <f t="shared" si="381"/>
        <v>3</v>
      </c>
      <c r="Z1407" s="2186">
        <f t="shared" si="380"/>
        <v>10391975</v>
      </c>
      <c r="AA1407" s="2205">
        <f t="shared" si="386"/>
        <v>27</v>
      </c>
      <c r="AB1407" s="2209">
        <f t="shared" si="386"/>
        <v>148524987</v>
      </c>
      <c r="AC1407" s="2210">
        <f t="shared" si="387"/>
        <v>0.375</v>
      </c>
      <c r="AD1407" s="2210">
        <f t="shared" si="387"/>
        <v>0.3015072895273041</v>
      </c>
      <c r="AE1407" s="2207" t="s">
        <v>222</v>
      </c>
    </row>
    <row r="1408" spans="1:31" s="621" customFormat="1" ht="60" customHeight="1">
      <c r="A1408" s="1374"/>
      <c r="B1408" s="1374"/>
      <c r="C1408" s="2191">
        <v>3</v>
      </c>
      <c r="D1408" s="2191" t="s">
        <v>107</v>
      </c>
      <c r="E1408" s="2191" t="s">
        <v>196</v>
      </c>
      <c r="F1408" s="2191">
        <v>17</v>
      </c>
      <c r="G1408" s="1374">
        <v>28</v>
      </c>
      <c r="H1408" s="1374"/>
      <c r="I1408" s="1762" t="s">
        <v>2897</v>
      </c>
      <c r="J1408" s="1380" t="s">
        <v>2898</v>
      </c>
      <c r="K1408" s="2243">
        <v>3096</v>
      </c>
      <c r="L1408" s="2242">
        <v>690444044</v>
      </c>
      <c r="M1408" s="2205">
        <v>1032</v>
      </c>
      <c r="N1408" s="2186">
        <v>185302575</v>
      </c>
      <c r="O1408" s="2205">
        <v>516</v>
      </c>
      <c r="P1408" s="2186">
        <v>81031348</v>
      </c>
      <c r="Q1408" s="2245">
        <v>0</v>
      </c>
      <c r="R1408" s="2186">
        <v>0</v>
      </c>
      <c r="S1408" s="2186">
        <v>0</v>
      </c>
      <c r="T1408" s="2186">
        <v>0</v>
      </c>
      <c r="U1408" s="2186">
        <v>0</v>
      </c>
      <c r="V1408" s="2186">
        <v>0</v>
      </c>
      <c r="W1408" s="2186">
        <v>0</v>
      </c>
      <c r="X1408" s="2186">
        <v>0</v>
      </c>
      <c r="Y1408" s="2205">
        <f t="shared" si="381"/>
        <v>0</v>
      </c>
      <c r="Z1408" s="2186">
        <f t="shared" si="380"/>
        <v>0</v>
      </c>
      <c r="AA1408" s="2205">
        <f t="shared" si="386"/>
        <v>1032</v>
      </c>
      <c r="AB1408" s="2209">
        <f t="shared" si="386"/>
        <v>185302575</v>
      </c>
      <c r="AC1408" s="2210">
        <f t="shared" si="387"/>
        <v>0.33333333333333331</v>
      </c>
      <c r="AD1408" s="2210">
        <f t="shared" si="387"/>
        <v>0.26838174159121286</v>
      </c>
      <c r="AE1408" s="2207" t="s">
        <v>222</v>
      </c>
    </row>
    <row r="1409" spans="1:31" s="621" customFormat="1" ht="57.75" customHeight="1">
      <c r="A1409" s="1374"/>
      <c r="B1409" s="1374"/>
      <c r="C1409" s="2191">
        <v>3</v>
      </c>
      <c r="D1409" s="2191" t="s">
        <v>107</v>
      </c>
      <c r="E1409" s="2191" t="s">
        <v>196</v>
      </c>
      <c r="F1409" s="2191">
        <v>17</v>
      </c>
      <c r="G1409" s="1374">
        <v>29</v>
      </c>
      <c r="H1409" s="1374"/>
      <c r="I1409" s="1762" t="s">
        <v>2899</v>
      </c>
      <c r="J1409" s="273" t="s">
        <v>2900</v>
      </c>
      <c r="K1409" s="2243">
        <v>72</v>
      </c>
      <c r="L1409" s="2242">
        <v>2509900114</v>
      </c>
      <c r="M1409" s="2205">
        <v>24</v>
      </c>
      <c r="N1409" s="2246">
        <v>1009262760</v>
      </c>
      <c r="O1409" s="2205">
        <v>12</v>
      </c>
      <c r="P1409" s="2246">
        <v>403648070</v>
      </c>
      <c r="Q1409" s="2247">
        <v>3</v>
      </c>
      <c r="R1409" s="2246">
        <v>30030517</v>
      </c>
      <c r="S1409" s="2186">
        <v>0</v>
      </c>
      <c r="T1409" s="2186">
        <v>0</v>
      </c>
      <c r="U1409" s="2186">
        <v>0</v>
      </c>
      <c r="V1409" s="2186">
        <v>0</v>
      </c>
      <c r="W1409" s="2186">
        <v>0</v>
      </c>
      <c r="X1409" s="2186">
        <v>0</v>
      </c>
      <c r="Y1409" s="2205">
        <f t="shared" si="381"/>
        <v>3</v>
      </c>
      <c r="Z1409" s="2186">
        <f t="shared" si="380"/>
        <v>30030517</v>
      </c>
      <c r="AA1409" s="2205">
        <f t="shared" si="386"/>
        <v>27</v>
      </c>
      <c r="AB1409" s="2209">
        <f t="shared" si="386"/>
        <v>1039293277</v>
      </c>
      <c r="AC1409" s="2210">
        <f t="shared" si="387"/>
        <v>0.375</v>
      </c>
      <c r="AD1409" s="2210">
        <f t="shared" si="387"/>
        <v>0.41407754484049558</v>
      </c>
      <c r="AE1409" s="2207" t="s">
        <v>222</v>
      </c>
    </row>
    <row r="1410" spans="1:31" s="621" customFormat="1" ht="57.75" customHeight="1">
      <c r="A1410" s="1374"/>
      <c r="B1410" s="1374"/>
      <c r="C1410" s="2191">
        <v>1</v>
      </c>
      <c r="D1410" s="2191" t="s">
        <v>376</v>
      </c>
      <c r="E1410" s="2191" t="s">
        <v>178</v>
      </c>
      <c r="F1410" s="2191" t="s">
        <v>448</v>
      </c>
      <c r="G1410" s="2191" t="s">
        <v>373</v>
      </c>
      <c r="H1410" s="2191"/>
      <c r="I1410" s="1762" t="s">
        <v>2901</v>
      </c>
      <c r="J1410" s="273" t="s">
        <v>2902</v>
      </c>
      <c r="K1410" s="2243">
        <v>100</v>
      </c>
      <c r="L1410" s="2246">
        <v>47299000</v>
      </c>
      <c r="M1410" s="2205">
        <v>100</v>
      </c>
      <c r="N1410" s="2246">
        <v>45646000</v>
      </c>
      <c r="O1410" s="2205">
        <v>0</v>
      </c>
      <c r="P1410" s="2246">
        <v>0</v>
      </c>
      <c r="Q1410" s="2247">
        <v>0</v>
      </c>
      <c r="R1410" s="2246">
        <v>0</v>
      </c>
      <c r="S1410" s="2186">
        <v>0</v>
      </c>
      <c r="T1410" s="2186">
        <v>0</v>
      </c>
      <c r="U1410" s="2186">
        <v>0</v>
      </c>
      <c r="V1410" s="2186">
        <v>0</v>
      </c>
      <c r="W1410" s="2186">
        <v>0</v>
      </c>
      <c r="X1410" s="2186">
        <v>0</v>
      </c>
      <c r="Y1410" s="2205">
        <f t="shared" si="381"/>
        <v>0</v>
      </c>
      <c r="Z1410" s="2186">
        <f t="shared" si="380"/>
        <v>0</v>
      </c>
      <c r="AA1410" s="2205">
        <f t="shared" si="386"/>
        <v>100</v>
      </c>
      <c r="AB1410" s="2209">
        <f t="shared" si="386"/>
        <v>45646000</v>
      </c>
      <c r="AC1410" s="2210">
        <f t="shared" si="387"/>
        <v>1</v>
      </c>
      <c r="AD1410" s="2210">
        <f t="shared" si="387"/>
        <v>0.96505211526670753</v>
      </c>
      <c r="AE1410" s="2207" t="s">
        <v>222</v>
      </c>
    </row>
    <row r="1411" spans="1:31" s="621" customFormat="1" ht="57.75" customHeight="1">
      <c r="A1411" s="1374"/>
      <c r="B1411" s="1374"/>
      <c r="C1411" s="2191">
        <v>1</v>
      </c>
      <c r="D1411" s="2191" t="s">
        <v>376</v>
      </c>
      <c r="E1411" s="2191" t="s">
        <v>178</v>
      </c>
      <c r="F1411" s="2191" t="s">
        <v>448</v>
      </c>
      <c r="G1411" s="2191" t="s">
        <v>399</v>
      </c>
      <c r="H1411" s="2191"/>
      <c r="I1411" s="1762" t="s">
        <v>2903</v>
      </c>
      <c r="J1411" s="273" t="s">
        <v>2902</v>
      </c>
      <c r="K1411" s="2243">
        <v>100</v>
      </c>
      <c r="L1411" s="2246">
        <v>13152000</v>
      </c>
      <c r="M1411" s="2205">
        <v>100</v>
      </c>
      <c r="N1411" s="2246">
        <v>13100000</v>
      </c>
      <c r="O1411" s="2205">
        <v>0</v>
      </c>
      <c r="P1411" s="2246">
        <v>0</v>
      </c>
      <c r="Q1411" s="2247">
        <v>0</v>
      </c>
      <c r="R1411" s="2246">
        <v>0</v>
      </c>
      <c r="S1411" s="2186">
        <v>0</v>
      </c>
      <c r="T1411" s="2186">
        <v>0</v>
      </c>
      <c r="U1411" s="2186">
        <v>0</v>
      </c>
      <c r="V1411" s="2186">
        <v>0</v>
      </c>
      <c r="W1411" s="2186">
        <v>0</v>
      </c>
      <c r="X1411" s="2186">
        <v>0</v>
      </c>
      <c r="Y1411" s="2205">
        <f t="shared" si="381"/>
        <v>0</v>
      </c>
      <c r="Z1411" s="2186">
        <f t="shared" si="380"/>
        <v>0</v>
      </c>
      <c r="AA1411" s="2205">
        <f t="shared" si="386"/>
        <v>100</v>
      </c>
      <c r="AB1411" s="2209">
        <f t="shared" si="386"/>
        <v>13100000</v>
      </c>
      <c r="AC1411" s="2210">
        <f t="shared" si="387"/>
        <v>1</v>
      </c>
      <c r="AD1411" s="2210">
        <f t="shared" si="387"/>
        <v>0.99604622871046233</v>
      </c>
      <c r="AE1411" s="2207" t="s">
        <v>222</v>
      </c>
    </row>
    <row r="1412" spans="1:31" s="621" customFormat="1" ht="57.75" customHeight="1">
      <c r="A1412" s="1374"/>
      <c r="B1412" s="1374"/>
      <c r="C1412" s="2191">
        <v>1</v>
      </c>
      <c r="D1412" s="2191" t="s">
        <v>376</v>
      </c>
      <c r="E1412" s="2191" t="s">
        <v>178</v>
      </c>
      <c r="F1412" s="2191" t="s">
        <v>448</v>
      </c>
      <c r="G1412" s="2191" t="s">
        <v>1148</v>
      </c>
      <c r="H1412" s="2191"/>
      <c r="I1412" s="1762" t="s">
        <v>2904</v>
      </c>
      <c r="J1412" s="273" t="s">
        <v>2905</v>
      </c>
      <c r="K1412" s="2243">
        <v>12</v>
      </c>
      <c r="L1412" s="2246">
        <v>23771632</v>
      </c>
      <c r="M1412" s="2205">
        <v>12</v>
      </c>
      <c r="N1412" s="2246">
        <v>9653500</v>
      </c>
      <c r="O1412" s="2205">
        <v>0</v>
      </c>
      <c r="P1412" s="2246">
        <v>0</v>
      </c>
      <c r="Q1412" s="2247">
        <v>0</v>
      </c>
      <c r="R1412" s="2246">
        <v>0</v>
      </c>
      <c r="S1412" s="2186">
        <v>0</v>
      </c>
      <c r="T1412" s="2186">
        <v>0</v>
      </c>
      <c r="U1412" s="2186">
        <v>0</v>
      </c>
      <c r="V1412" s="2186">
        <v>0</v>
      </c>
      <c r="W1412" s="2186">
        <v>0</v>
      </c>
      <c r="X1412" s="2186">
        <v>0</v>
      </c>
      <c r="Y1412" s="2205">
        <f t="shared" si="381"/>
        <v>0</v>
      </c>
      <c r="Z1412" s="2186">
        <f t="shared" si="380"/>
        <v>0</v>
      </c>
      <c r="AA1412" s="2205">
        <f t="shared" si="386"/>
        <v>12</v>
      </c>
      <c r="AB1412" s="2209">
        <f t="shared" si="386"/>
        <v>9653500</v>
      </c>
      <c r="AC1412" s="2210">
        <f t="shared" si="387"/>
        <v>1</v>
      </c>
      <c r="AD1412" s="2210">
        <f t="shared" si="387"/>
        <v>0.40609327958635738</v>
      </c>
      <c r="AE1412" s="2207" t="s">
        <v>222</v>
      </c>
    </row>
    <row r="1413" spans="1:31" s="621" customFormat="1" ht="57.75" customHeight="1">
      <c r="A1413" s="1374"/>
      <c r="B1413" s="1374"/>
      <c r="C1413" s="2191">
        <v>1</v>
      </c>
      <c r="D1413" s="2191" t="s">
        <v>376</v>
      </c>
      <c r="E1413" s="2191" t="s">
        <v>178</v>
      </c>
      <c r="F1413" s="2191" t="s">
        <v>448</v>
      </c>
      <c r="G1413" s="2191" t="s">
        <v>2906</v>
      </c>
      <c r="H1413" s="2191"/>
      <c r="I1413" s="1762" t="s">
        <v>2907</v>
      </c>
      <c r="J1413" s="273" t="s">
        <v>2908</v>
      </c>
      <c r="K1413" s="2243">
        <v>100</v>
      </c>
      <c r="L1413" s="2242">
        <v>359198216</v>
      </c>
      <c r="M1413" s="2205">
        <v>100</v>
      </c>
      <c r="N1413" s="2246">
        <v>291708850</v>
      </c>
      <c r="O1413" s="2205">
        <v>0</v>
      </c>
      <c r="P1413" s="2246">
        <v>0</v>
      </c>
      <c r="Q1413" s="2247">
        <v>0</v>
      </c>
      <c r="R1413" s="2246">
        <v>0</v>
      </c>
      <c r="S1413" s="2186">
        <v>0</v>
      </c>
      <c r="T1413" s="2186">
        <v>0</v>
      </c>
      <c r="U1413" s="2186">
        <v>0</v>
      </c>
      <c r="V1413" s="2186">
        <v>0</v>
      </c>
      <c r="W1413" s="2186">
        <v>0</v>
      </c>
      <c r="X1413" s="2186">
        <v>0</v>
      </c>
      <c r="Y1413" s="2205">
        <f t="shared" si="381"/>
        <v>0</v>
      </c>
      <c r="Z1413" s="2186">
        <f t="shared" si="380"/>
        <v>0</v>
      </c>
      <c r="AA1413" s="2205">
        <f t="shared" si="386"/>
        <v>100</v>
      </c>
      <c r="AB1413" s="2209">
        <f t="shared" si="386"/>
        <v>291708850</v>
      </c>
      <c r="AC1413" s="2210">
        <f t="shared" si="387"/>
        <v>1</v>
      </c>
      <c r="AD1413" s="2210">
        <f t="shared" si="387"/>
        <v>0.81211107685456874</v>
      </c>
      <c r="AE1413" s="2207" t="s">
        <v>222</v>
      </c>
    </row>
    <row r="1414" spans="1:31" s="621" customFormat="1" ht="57.75" customHeight="1">
      <c r="A1414" s="1374"/>
      <c r="B1414" s="1374"/>
      <c r="C1414" s="2191">
        <v>1</v>
      </c>
      <c r="D1414" s="2191" t="s">
        <v>376</v>
      </c>
      <c r="E1414" s="2191" t="s">
        <v>178</v>
      </c>
      <c r="F1414" s="2191" t="s">
        <v>448</v>
      </c>
      <c r="G1414" s="2191" t="s">
        <v>1097</v>
      </c>
      <c r="H1414" s="2191"/>
      <c r="I1414" s="1762" t="s">
        <v>2909</v>
      </c>
      <c r="J1414" s="273" t="s">
        <v>2905</v>
      </c>
      <c r="K1414" s="2243">
        <v>12</v>
      </c>
      <c r="L1414" s="2242">
        <v>80000000</v>
      </c>
      <c r="M1414" s="2205">
        <v>12</v>
      </c>
      <c r="N1414" s="2246">
        <v>83060800</v>
      </c>
      <c r="O1414" s="2205">
        <v>0</v>
      </c>
      <c r="P1414" s="2246">
        <v>0</v>
      </c>
      <c r="Q1414" s="2247">
        <v>0</v>
      </c>
      <c r="R1414" s="2246">
        <v>0</v>
      </c>
      <c r="S1414" s="2186">
        <v>0</v>
      </c>
      <c r="T1414" s="2186">
        <v>0</v>
      </c>
      <c r="U1414" s="2186">
        <v>0</v>
      </c>
      <c r="V1414" s="2186">
        <v>0</v>
      </c>
      <c r="W1414" s="2186">
        <v>0</v>
      </c>
      <c r="X1414" s="2186">
        <v>0</v>
      </c>
      <c r="Y1414" s="2205">
        <f t="shared" si="381"/>
        <v>0</v>
      </c>
      <c r="Z1414" s="2186">
        <f t="shared" si="380"/>
        <v>0</v>
      </c>
      <c r="AA1414" s="2205">
        <f t="shared" si="386"/>
        <v>12</v>
      </c>
      <c r="AB1414" s="2209">
        <f t="shared" si="386"/>
        <v>83060800</v>
      </c>
      <c r="AC1414" s="2210">
        <f t="shared" si="387"/>
        <v>1</v>
      </c>
      <c r="AD1414" s="2210">
        <f t="shared" si="387"/>
        <v>1.03826</v>
      </c>
      <c r="AE1414" s="2207" t="s">
        <v>222</v>
      </c>
    </row>
    <row r="1415" spans="1:31" s="621" customFormat="1" ht="57.75" customHeight="1">
      <c r="A1415" s="1374"/>
      <c r="B1415" s="1374"/>
      <c r="C1415" s="2191">
        <v>1</v>
      </c>
      <c r="D1415" s="2191" t="s">
        <v>376</v>
      </c>
      <c r="E1415" s="2191" t="s">
        <v>178</v>
      </c>
      <c r="F1415" s="2191" t="s">
        <v>448</v>
      </c>
      <c r="G1415" s="2191" t="s">
        <v>485</v>
      </c>
      <c r="H1415" s="2191"/>
      <c r="I1415" s="1762" t="s">
        <v>993</v>
      </c>
      <c r="J1415" s="273" t="s">
        <v>2908</v>
      </c>
      <c r="K1415" s="2243">
        <v>100</v>
      </c>
      <c r="L1415" s="2242">
        <v>86901852</v>
      </c>
      <c r="M1415" s="2205">
        <v>100</v>
      </c>
      <c r="N1415" s="2246">
        <v>80615650</v>
      </c>
      <c r="O1415" s="2205">
        <v>0</v>
      </c>
      <c r="P1415" s="2246">
        <v>0</v>
      </c>
      <c r="Q1415" s="2247">
        <v>0</v>
      </c>
      <c r="R1415" s="2246">
        <v>0</v>
      </c>
      <c r="S1415" s="2186">
        <v>0</v>
      </c>
      <c r="T1415" s="2186">
        <v>0</v>
      </c>
      <c r="U1415" s="2186">
        <v>0</v>
      </c>
      <c r="V1415" s="2186">
        <v>0</v>
      </c>
      <c r="W1415" s="2186">
        <v>0</v>
      </c>
      <c r="X1415" s="2186">
        <v>0</v>
      </c>
      <c r="Y1415" s="2205">
        <f t="shared" si="381"/>
        <v>0</v>
      </c>
      <c r="Z1415" s="2186">
        <f t="shared" si="380"/>
        <v>0</v>
      </c>
      <c r="AA1415" s="2205">
        <f t="shared" si="386"/>
        <v>100</v>
      </c>
      <c r="AB1415" s="2209">
        <f t="shared" si="386"/>
        <v>80615650</v>
      </c>
      <c r="AC1415" s="2210">
        <f t="shared" si="387"/>
        <v>1</v>
      </c>
      <c r="AD1415" s="2210">
        <f t="shared" si="387"/>
        <v>0.92766319870835434</v>
      </c>
      <c r="AE1415" s="2207" t="s">
        <v>222</v>
      </c>
    </row>
    <row r="1416" spans="1:31" s="621" customFormat="1" ht="57.75" customHeight="1">
      <c r="A1416" s="1374"/>
      <c r="B1416" s="1374"/>
      <c r="C1416" s="2191">
        <v>1</v>
      </c>
      <c r="D1416" s="2191" t="s">
        <v>376</v>
      </c>
      <c r="E1416" s="2191" t="s">
        <v>178</v>
      </c>
      <c r="F1416" s="2191" t="s">
        <v>448</v>
      </c>
      <c r="G1416" s="2191" t="s">
        <v>2910</v>
      </c>
      <c r="H1416" s="2191"/>
      <c r="I1416" s="1762" t="s">
        <v>2911</v>
      </c>
      <c r="J1416" s="273" t="s">
        <v>2908</v>
      </c>
      <c r="K1416" s="2243">
        <v>100</v>
      </c>
      <c r="L1416" s="2242">
        <v>141722224</v>
      </c>
      <c r="M1416" s="2205">
        <v>100</v>
      </c>
      <c r="N1416" s="2246">
        <v>135099100</v>
      </c>
      <c r="O1416" s="2205">
        <v>0</v>
      </c>
      <c r="P1416" s="2246">
        <v>0</v>
      </c>
      <c r="Q1416" s="2247">
        <v>0</v>
      </c>
      <c r="R1416" s="2246">
        <v>0</v>
      </c>
      <c r="S1416" s="2186">
        <v>0</v>
      </c>
      <c r="T1416" s="2186">
        <v>0</v>
      </c>
      <c r="U1416" s="2186">
        <v>0</v>
      </c>
      <c r="V1416" s="2186">
        <v>0</v>
      </c>
      <c r="W1416" s="2186">
        <v>0</v>
      </c>
      <c r="X1416" s="2186">
        <v>0</v>
      </c>
      <c r="Y1416" s="2205">
        <f t="shared" si="381"/>
        <v>0</v>
      </c>
      <c r="Z1416" s="2186">
        <f t="shared" si="380"/>
        <v>0</v>
      </c>
      <c r="AA1416" s="2205">
        <f t="shared" si="386"/>
        <v>100</v>
      </c>
      <c r="AB1416" s="2209">
        <f t="shared" si="386"/>
        <v>135099100</v>
      </c>
      <c r="AC1416" s="2210">
        <f t="shared" si="387"/>
        <v>1</v>
      </c>
      <c r="AD1416" s="2210">
        <f t="shared" si="387"/>
        <v>0.95326686377713066</v>
      </c>
      <c r="AE1416" s="2207" t="s">
        <v>222</v>
      </c>
    </row>
    <row r="1417" spans="1:31" s="621" customFormat="1" ht="57.75" customHeight="1">
      <c r="A1417" s="1374"/>
      <c r="B1417" s="1374"/>
      <c r="C1417" s="2191">
        <v>1</v>
      </c>
      <c r="D1417" s="2191" t="s">
        <v>376</v>
      </c>
      <c r="E1417" s="2191" t="s">
        <v>178</v>
      </c>
      <c r="F1417" s="2191" t="s">
        <v>448</v>
      </c>
      <c r="G1417" s="2191" t="s">
        <v>491</v>
      </c>
      <c r="H1417" s="2191"/>
      <c r="I1417" s="1762" t="s">
        <v>2912</v>
      </c>
      <c r="J1417" s="273" t="s">
        <v>2908</v>
      </c>
      <c r="K1417" s="2243">
        <v>100</v>
      </c>
      <c r="L1417" s="2242">
        <v>61817408</v>
      </c>
      <c r="M1417" s="2205">
        <v>100</v>
      </c>
      <c r="N1417" s="2246">
        <v>36499000</v>
      </c>
      <c r="O1417" s="2205">
        <v>0</v>
      </c>
      <c r="P1417" s="2246">
        <v>0</v>
      </c>
      <c r="Q1417" s="2247">
        <v>0</v>
      </c>
      <c r="R1417" s="2246">
        <v>0</v>
      </c>
      <c r="S1417" s="2186">
        <v>0</v>
      </c>
      <c r="T1417" s="2186">
        <v>0</v>
      </c>
      <c r="U1417" s="2186">
        <v>0</v>
      </c>
      <c r="V1417" s="2186">
        <v>0</v>
      </c>
      <c r="W1417" s="2186">
        <v>0</v>
      </c>
      <c r="X1417" s="2186">
        <v>0</v>
      </c>
      <c r="Y1417" s="2205">
        <f t="shared" si="381"/>
        <v>0</v>
      </c>
      <c r="Z1417" s="2186">
        <f t="shared" si="380"/>
        <v>0</v>
      </c>
      <c r="AA1417" s="2205">
        <f t="shared" si="386"/>
        <v>100</v>
      </c>
      <c r="AB1417" s="2209">
        <f t="shared" si="386"/>
        <v>36499000</v>
      </c>
      <c r="AC1417" s="2210">
        <f t="shared" si="387"/>
        <v>1</v>
      </c>
      <c r="AD1417" s="2210">
        <f t="shared" si="387"/>
        <v>0.59043239082428045</v>
      </c>
      <c r="AE1417" s="2207" t="s">
        <v>222</v>
      </c>
    </row>
    <row r="1418" spans="1:31" s="621" customFormat="1" ht="56.25" customHeight="1">
      <c r="A1418" s="1374"/>
      <c r="B1418" s="1374"/>
      <c r="C1418" s="2191">
        <v>3</v>
      </c>
      <c r="D1418" s="2191" t="s">
        <v>107</v>
      </c>
      <c r="E1418" s="2191" t="s">
        <v>196</v>
      </c>
      <c r="F1418" s="2191">
        <v>17</v>
      </c>
      <c r="G1418" s="1374">
        <v>41</v>
      </c>
      <c r="H1418" s="1374"/>
      <c r="I1418" s="1762" t="s">
        <v>2913</v>
      </c>
      <c r="J1418" s="273" t="s">
        <v>2914</v>
      </c>
      <c r="K1418" s="2243">
        <v>72</v>
      </c>
      <c r="L1418" s="2242">
        <v>561795159</v>
      </c>
      <c r="M1418" s="2205">
        <v>24</v>
      </c>
      <c r="N1418" s="2246">
        <v>176112919</v>
      </c>
      <c r="O1418" s="2205">
        <v>12</v>
      </c>
      <c r="P1418" s="2246">
        <v>92062955</v>
      </c>
      <c r="Q1418" s="2247">
        <v>3</v>
      </c>
      <c r="R1418" s="2246">
        <v>30030517</v>
      </c>
      <c r="S1418" s="2186">
        <v>0</v>
      </c>
      <c r="T1418" s="2186">
        <v>0</v>
      </c>
      <c r="U1418" s="2186">
        <v>0</v>
      </c>
      <c r="V1418" s="2186">
        <v>0</v>
      </c>
      <c r="W1418" s="2186">
        <v>0</v>
      </c>
      <c r="X1418" s="2186">
        <v>0</v>
      </c>
      <c r="Y1418" s="2205">
        <f t="shared" si="381"/>
        <v>3</v>
      </c>
      <c r="Z1418" s="2186">
        <f t="shared" si="380"/>
        <v>30030517</v>
      </c>
      <c r="AA1418" s="2205">
        <f t="shared" si="386"/>
        <v>27</v>
      </c>
      <c r="AB1418" s="2209">
        <f t="shared" si="386"/>
        <v>206143436</v>
      </c>
      <c r="AC1418" s="2210">
        <f t="shared" si="387"/>
        <v>0.375</v>
      </c>
      <c r="AD1418" s="2210">
        <f t="shared" si="387"/>
        <v>0.36693701022083747</v>
      </c>
      <c r="AE1418" s="2207" t="s">
        <v>222</v>
      </c>
    </row>
    <row r="1419" spans="1:31" s="621" customFormat="1" ht="56.25" customHeight="1">
      <c r="A1419" s="1374"/>
      <c r="B1419" s="1374"/>
      <c r="C1419" s="2191">
        <v>1</v>
      </c>
      <c r="D1419" s="2191" t="s">
        <v>376</v>
      </c>
      <c r="E1419" s="2191" t="s">
        <v>178</v>
      </c>
      <c r="F1419" s="2191" t="s">
        <v>448</v>
      </c>
      <c r="G1419" s="2191" t="s">
        <v>2915</v>
      </c>
      <c r="H1419" s="2191"/>
      <c r="I1419" s="1762" t="s">
        <v>995</v>
      </c>
      <c r="J1419" s="273" t="s">
        <v>2905</v>
      </c>
      <c r="K1419" s="2243">
        <v>12</v>
      </c>
      <c r="L1419" s="2242">
        <v>84710952</v>
      </c>
      <c r="M1419" s="2248">
        <v>12</v>
      </c>
      <c r="N1419" s="2246">
        <v>84860750</v>
      </c>
      <c r="O1419" s="2205">
        <v>0</v>
      </c>
      <c r="P1419" s="2246">
        <v>0</v>
      </c>
      <c r="Q1419" s="2247">
        <v>0</v>
      </c>
      <c r="R1419" s="2246">
        <v>0</v>
      </c>
      <c r="S1419" s="2186">
        <v>0</v>
      </c>
      <c r="T1419" s="2186">
        <v>0</v>
      </c>
      <c r="U1419" s="2186">
        <v>0</v>
      </c>
      <c r="V1419" s="2186">
        <v>0</v>
      </c>
      <c r="W1419" s="2186">
        <v>0</v>
      </c>
      <c r="X1419" s="2186">
        <v>0</v>
      </c>
      <c r="Y1419" s="2205">
        <f t="shared" si="381"/>
        <v>0</v>
      </c>
      <c r="Z1419" s="2186">
        <f t="shared" si="380"/>
        <v>0</v>
      </c>
      <c r="AA1419" s="2205">
        <f t="shared" si="386"/>
        <v>12</v>
      </c>
      <c r="AB1419" s="2209">
        <f t="shared" si="386"/>
        <v>84860750</v>
      </c>
      <c r="AC1419" s="2210">
        <f t="shared" si="387"/>
        <v>1</v>
      </c>
      <c r="AD1419" s="2210">
        <f t="shared" si="387"/>
        <v>1.001768342775796</v>
      </c>
      <c r="AE1419" s="2207" t="s">
        <v>222</v>
      </c>
    </row>
    <row r="1420" spans="1:31" s="621" customFormat="1" ht="56.25" customHeight="1">
      <c r="A1420" s="1374"/>
      <c r="B1420" s="1374"/>
      <c r="C1420" s="2191">
        <v>1</v>
      </c>
      <c r="D1420" s="2191" t="s">
        <v>376</v>
      </c>
      <c r="E1420" s="2191" t="s">
        <v>178</v>
      </c>
      <c r="F1420" s="2191" t="s">
        <v>448</v>
      </c>
      <c r="G1420" s="2191" t="s">
        <v>2916</v>
      </c>
      <c r="H1420" s="2191"/>
      <c r="I1420" s="1762" t="s">
        <v>2917</v>
      </c>
      <c r="J1420" s="273" t="s">
        <v>2908</v>
      </c>
      <c r="K1420" s="2243">
        <v>100</v>
      </c>
      <c r="L1420" s="2242">
        <v>65844972</v>
      </c>
      <c r="M1420" s="2248">
        <v>100</v>
      </c>
      <c r="N1420" s="2246">
        <v>79707477</v>
      </c>
      <c r="O1420" s="2205">
        <v>0</v>
      </c>
      <c r="P1420" s="2246">
        <v>0</v>
      </c>
      <c r="Q1420" s="2247">
        <v>0</v>
      </c>
      <c r="R1420" s="2246">
        <v>0</v>
      </c>
      <c r="S1420" s="2186">
        <v>0</v>
      </c>
      <c r="T1420" s="2186">
        <v>0</v>
      </c>
      <c r="U1420" s="2186">
        <v>0</v>
      </c>
      <c r="V1420" s="2186">
        <v>0</v>
      </c>
      <c r="W1420" s="2186">
        <v>0</v>
      </c>
      <c r="X1420" s="2186">
        <v>0</v>
      </c>
      <c r="Y1420" s="2205">
        <f t="shared" si="381"/>
        <v>0</v>
      </c>
      <c r="Z1420" s="2186">
        <f t="shared" si="380"/>
        <v>0</v>
      </c>
      <c r="AA1420" s="2205">
        <f t="shared" si="386"/>
        <v>100</v>
      </c>
      <c r="AB1420" s="2209">
        <f t="shared" si="386"/>
        <v>79707477</v>
      </c>
      <c r="AC1420" s="2210">
        <f t="shared" si="387"/>
        <v>1</v>
      </c>
      <c r="AD1420" s="2210">
        <f t="shared" si="387"/>
        <v>1.2105324761927152</v>
      </c>
      <c r="AE1420" s="2207" t="s">
        <v>222</v>
      </c>
    </row>
    <row r="1421" spans="1:31" s="621" customFormat="1" ht="64.5" customHeight="1">
      <c r="A1421" s="1374"/>
      <c r="B1421" s="1374"/>
      <c r="C1421" s="2191">
        <v>1</v>
      </c>
      <c r="D1421" s="2191" t="s">
        <v>376</v>
      </c>
      <c r="E1421" s="2191" t="s">
        <v>178</v>
      </c>
      <c r="F1421" s="2191" t="s">
        <v>448</v>
      </c>
      <c r="G1421" s="2191" t="s">
        <v>2918</v>
      </c>
      <c r="H1421" s="2191"/>
      <c r="I1421" s="1762" t="s">
        <v>2919</v>
      </c>
      <c r="J1421" s="273" t="s">
        <v>2908</v>
      </c>
      <c r="K1421" s="2243">
        <v>100</v>
      </c>
      <c r="L1421" s="2242">
        <v>82511148</v>
      </c>
      <c r="M1421" s="2248">
        <v>100</v>
      </c>
      <c r="N1421" s="2246">
        <v>89687750</v>
      </c>
      <c r="O1421" s="2205">
        <v>0</v>
      </c>
      <c r="P1421" s="2246">
        <v>0</v>
      </c>
      <c r="Q1421" s="2247">
        <v>0</v>
      </c>
      <c r="R1421" s="2246">
        <v>0</v>
      </c>
      <c r="S1421" s="2186">
        <v>0</v>
      </c>
      <c r="T1421" s="2186">
        <v>0</v>
      </c>
      <c r="U1421" s="2186">
        <v>0</v>
      </c>
      <c r="V1421" s="2186">
        <v>0</v>
      </c>
      <c r="W1421" s="2186">
        <v>0</v>
      </c>
      <c r="X1421" s="2186">
        <v>0</v>
      </c>
      <c r="Y1421" s="2205">
        <f t="shared" si="381"/>
        <v>0</v>
      </c>
      <c r="Z1421" s="2186">
        <f t="shared" si="380"/>
        <v>0</v>
      </c>
      <c r="AA1421" s="2205">
        <f t="shared" si="386"/>
        <v>100</v>
      </c>
      <c r="AB1421" s="2209">
        <f t="shared" si="386"/>
        <v>89687750</v>
      </c>
      <c r="AC1421" s="2210">
        <f t="shared" si="387"/>
        <v>1</v>
      </c>
      <c r="AD1421" s="2210">
        <f t="shared" si="387"/>
        <v>1.0869773621377805</v>
      </c>
      <c r="AE1421" s="2207" t="s">
        <v>222</v>
      </c>
    </row>
    <row r="1422" spans="1:31" s="621" customFormat="1" ht="56.25" customHeight="1">
      <c r="A1422" s="1374"/>
      <c r="B1422" s="1374"/>
      <c r="C1422" s="2191">
        <v>1</v>
      </c>
      <c r="D1422" s="2191" t="s">
        <v>376</v>
      </c>
      <c r="E1422" s="2191" t="s">
        <v>178</v>
      </c>
      <c r="F1422" s="2191" t="s">
        <v>448</v>
      </c>
      <c r="G1422" s="2191" t="s">
        <v>2803</v>
      </c>
      <c r="H1422" s="2191"/>
      <c r="I1422" s="1762" t="s">
        <v>2920</v>
      </c>
      <c r="J1422" s="273" t="s">
        <v>2905</v>
      </c>
      <c r="K1422" s="2243">
        <v>12</v>
      </c>
      <c r="L1422" s="2242">
        <v>117117672</v>
      </c>
      <c r="M1422" s="2248">
        <v>12</v>
      </c>
      <c r="N1422" s="2246">
        <v>114775450</v>
      </c>
      <c r="O1422" s="2205">
        <v>0</v>
      </c>
      <c r="P1422" s="2246">
        <v>0</v>
      </c>
      <c r="Q1422" s="2247">
        <v>0</v>
      </c>
      <c r="R1422" s="2246">
        <v>0</v>
      </c>
      <c r="S1422" s="2186">
        <v>0</v>
      </c>
      <c r="T1422" s="2186">
        <v>0</v>
      </c>
      <c r="U1422" s="2186">
        <v>0</v>
      </c>
      <c r="V1422" s="2186">
        <v>0</v>
      </c>
      <c r="W1422" s="2186">
        <v>0</v>
      </c>
      <c r="X1422" s="2186">
        <v>0</v>
      </c>
      <c r="Y1422" s="2205">
        <f t="shared" si="381"/>
        <v>0</v>
      </c>
      <c r="Z1422" s="2186">
        <f t="shared" si="380"/>
        <v>0</v>
      </c>
      <c r="AA1422" s="2205">
        <f t="shared" si="386"/>
        <v>12</v>
      </c>
      <c r="AB1422" s="2209">
        <f t="shared" si="386"/>
        <v>114775450</v>
      </c>
      <c r="AC1422" s="2210">
        <f t="shared" si="387"/>
        <v>1</v>
      </c>
      <c r="AD1422" s="2210">
        <f t="shared" si="387"/>
        <v>0.98000112229006742</v>
      </c>
      <c r="AE1422" s="2207" t="s">
        <v>222</v>
      </c>
    </row>
    <row r="1423" spans="1:31" s="621" customFormat="1" ht="56.25" customHeight="1">
      <c r="A1423" s="1374"/>
      <c r="B1423" s="1374"/>
      <c r="C1423" s="2191">
        <v>1</v>
      </c>
      <c r="D1423" s="2191" t="s">
        <v>376</v>
      </c>
      <c r="E1423" s="2191" t="s">
        <v>178</v>
      </c>
      <c r="F1423" s="2191" t="s">
        <v>448</v>
      </c>
      <c r="G1423" s="2191" t="s">
        <v>324</v>
      </c>
      <c r="H1423" s="2191"/>
      <c r="I1423" s="1762" t="s">
        <v>2921</v>
      </c>
      <c r="J1423" s="273" t="s">
        <v>2908</v>
      </c>
      <c r="K1423" s="2243">
        <v>100</v>
      </c>
      <c r="L1423" s="2242">
        <v>149682220</v>
      </c>
      <c r="M1423" s="2248">
        <v>100</v>
      </c>
      <c r="N1423" s="2246">
        <v>108563650</v>
      </c>
      <c r="O1423" s="2205">
        <v>0</v>
      </c>
      <c r="P1423" s="2246">
        <v>0</v>
      </c>
      <c r="Q1423" s="2247">
        <v>0</v>
      </c>
      <c r="R1423" s="2246">
        <v>0</v>
      </c>
      <c r="S1423" s="2186">
        <v>0</v>
      </c>
      <c r="T1423" s="2186">
        <v>0</v>
      </c>
      <c r="U1423" s="2186">
        <v>0</v>
      </c>
      <c r="V1423" s="2186">
        <v>0</v>
      </c>
      <c r="W1423" s="2186">
        <v>0</v>
      </c>
      <c r="X1423" s="2186">
        <v>0</v>
      </c>
      <c r="Y1423" s="2205">
        <f t="shared" si="381"/>
        <v>0</v>
      </c>
      <c r="Z1423" s="2186">
        <f t="shared" si="380"/>
        <v>0</v>
      </c>
      <c r="AA1423" s="2205">
        <f t="shared" si="386"/>
        <v>100</v>
      </c>
      <c r="AB1423" s="2209">
        <f t="shared" si="386"/>
        <v>108563650</v>
      </c>
      <c r="AC1423" s="2210">
        <f t="shared" si="387"/>
        <v>1</v>
      </c>
      <c r="AD1423" s="2210">
        <f t="shared" si="387"/>
        <v>0.72529422666232501</v>
      </c>
      <c r="AE1423" s="2207" t="s">
        <v>222</v>
      </c>
    </row>
    <row r="1424" spans="1:31" s="621" customFormat="1" ht="56.25" customHeight="1">
      <c r="A1424" s="1374"/>
      <c r="B1424" s="1374"/>
      <c r="C1424" s="2191">
        <v>1</v>
      </c>
      <c r="D1424" s="2191" t="s">
        <v>376</v>
      </c>
      <c r="E1424" s="2191" t="s">
        <v>178</v>
      </c>
      <c r="F1424" s="2191" t="s">
        <v>448</v>
      </c>
      <c r="G1424" s="2191" t="s">
        <v>2922</v>
      </c>
      <c r="H1424" s="2191"/>
      <c r="I1424" s="1762" t="s">
        <v>2923</v>
      </c>
      <c r="J1424" s="273" t="s">
        <v>2908</v>
      </c>
      <c r="K1424" s="2243">
        <v>100</v>
      </c>
      <c r="L1424" s="2242">
        <v>102573888</v>
      </c>
      <c r="M1424" s="2248">
        <v>100</v>
      </c>
      <c r="N1424" s="2246">
        <v>62946300</v>
      </c>
      <c r="O1424" s="2205">
        <v>0</v>
      </c>
      <c r="P1424" s="2246">
        <v>0</v>
      </c>
      <c r="Q1424" s="2247">
        <v>0</v>
      </c>
      <c r="R1424" s="2246">
        <v>0</v>
      </c>
      <c r="S1424" s="2186">
        <v>0</v>
      </c>
      <c r="T1424" s="2186">
        <v>0</v>
      </c>
      <c r="U1424" s="2186">
        <v>0</v>
      </c>
      <c r="V1424" s="2186">
        <v>0</v>
      </c>
      <c r="W1424" s="2186">
        <v>0</v>
      </c>
      <c r="X1424" s="2186">
        <v>0</v>
      </c>
      <c r="Y1424" s="2205">
        <f t="shared" si="381"/>
        <v>0</v>
      </c>
      <c r="Z1424" s="2186">
        <f t="shared" si="380"/>
        <v>0</v>
      </c>
      <c r="AA1424" s="2205">
        <f t="shared" si="386"/>
        <v>100</v>
      </c>
      <c r="AB1424" s="2209">
        <f t="shared" si="386"/>
        <v>62946300</v>
      </c>
      <c r="AC1424" s="2210">
        <f t="shared" si="387"/>
        <v>1</v>
      </c>
      <c r="AD1424" s="2210">
        <f t="shared" si="387"/>
        <v>0.61366787617526986</v>
      </c>
      <c r="AE1424" s="2207" t="s">
        <v>222</v>
      </c>
    </row>
    <row r="1425" spans="1:31" s="621" customFormat="1" ht="56.25" customHeight="1">
      <c r="A1425" s="1374"/>
      <c r="B1425" s="1374"/>
      <c r="C1425" s="2191">
        <v>1</v>
      </c>
      <c r="D1425" s="2191" t="s">
        <v>376</v>
      </c>
      <c r="E1425" s="2191" t="s">
        <v>178</v>
      </c>
      <c r="F1425" s="2191" t="s">
        <v>448</v>
      </c>
      <c r="G1425" s="2191" t="s">
        <v>327</v>
      </c>
      <c r="H1425" s="2191"/>
      <c r="I1425" s="1762" t="s">
        <v>2924</v>
      </c>
      <c r="J1425" s="273" t="s">
        <v>2908</v>
      </c>
      <c r="K1425" s="2243">
        <v>100</v>
      </c>
      <c r="L1425" s="2242">
        <v>23999160</v>
      </c>
      <c r="M1425" s="2248">
        <v>100</v>
      </c>
      <c r="N1425" s="2246">
        <v>12346000</v>
      </c>
      <c r="O1425" s="2205">
        <v>0</v>
      </c>
      <c r="P1425" s="2246">
        <v>0</v>
      </c>
      <c r="Q1425" s="2247">
        <v>0</v>
      </c>
      <c r="R1425" s="2246">
        <v>0</v>
      </c>
      <c r="S1425" s="2186">
        <v>0</v>
      </c>
      <c r="T1425" s="2186">
        <v>0</v>
      </c>
      <c r="U1425" s="2186">
        <v>0</v>
      </c>
      <c r="V1425" s="2186">
        <v>0</v>
      </c>
      <c r="W1425" s="2186">
        <v>0</v>
      </c>
      <c r="X1425" s="2186">
        <v>0</v>
      </c>
      <c r="Y1425" s="2205">
        <f t="shared" si="381"/>
        <v>0</v>
      </c>
      <c r="Z1425" s="2186">
        <f t="shared" si="380"/>
        <v>0</v>
      </c>
      <c r="AA1425" s="2205">
        <f t="shared" si="386"/>
        <v>100</v>
      </c>
      <c r="AB1425" s="2209">
        <f t="shared" si="386"/>
        <v>12346000</v>
      </c>
      <c r="AC1425" s="2210">
        <f t="shared" si="387"/>
        <v>1</v>
      </c>
      <c r="AD1425" s="2210">
        <f t="shared" si="387"/>
        <v>0.51443467188018244</v>
      </c>
      <c r="AE1425" s="2207" t="s">
        <v>222</v>
      </c>
    </row>
    <row r="1426" spans="1:31" s="621" customFormat="1" ht="59.25" customHeight="1">
      <c r="A1426" s="1374"/>
      <c r="B1426" s="1374"/>
      <c r="C1426" s="2191">
        <v>3</v>
      </c>
      <c r="D1426" s="2191" t="s">
        <v>107</v>
      </c>
      <c r="E1426" s="2191" t="s">
        <v>196</v>
      </c>
      <c r="F1426" s="2191">
        <v>17</v>
      </c>
      <c r="G1426" s="1374">
        <v>42</v>
      </c>
      <c r="H1426" s="1374"/>
      <c r="I1426" s="1762" t="s">
        <v>2925</v>
      </c>
      <c r="J1426" s="273" t="s">
        <v>2926</v>
      </c>
      <c r="K1426" s="2243">
        <v>500</v>
      </c>
      <c r="L1426" s="2242">
        <v>276426716</v>
      </c>
      <c r="M1426" s="2205">
        <v>100</v>
      </c>
      <c r="N1426" s="2246">
        <v>48522501</v>
      </c>
      <c r="O1426" s="2205">
        <v>100</v>
      </c>
      <c r="P1426" s="2246">
        <v>51428705</v>
      </c>
      <c r="Q1426" s="2247">
        <v>25</v>
      </c>
      <c r="R1426" s="2246">
        <v>12988724</v>
      </c>
      <c r="S1426" s="2186">
        <v>0</v>
      </c>
      <c r="T1426" s="2186">
        <v>0</v>
      </c>
      <c r="U1426" s="2186">
        <v>0</v>
      </c>
      <c r="V1426" s="2186">
        <v>0</v>
      </c>
      <c r="W1426" s="2186">
        <v>0</v>
      </c>
      <c r="X1426" s="2186">
        <v>0</v>
      </c>
      <c r="Y1426" s="2205">
        <f t="shared" si="381"/>
        <v>25</v>
      </c>
      <c r="Z1426" s="2186">
        <f t="shared" si="380"/>
        <v>12988724</v>
      </c>
      <c r="AA1426" s="2205">
        <f t="shared" si="386"/>
        <v>125</v>
      </c>
      <c r="AB1426" s="2209">
        <f t="shared" si="386"/>
        <v>61511225</v>
      </c>
      <c r="AC1426" s="2210">
        <f t="shared" si="387"/>
        <v>0.25</v>
      </c>
      <c r="AD1426" s="2210">
        <f t="shared" si="387"/>
        <v>0.22252272099488388</v>
      </c>
      <c r="AE1426" s="2207" t="s">
        <v>222</v>
      </c>
    </row>
    <row r="1427" spans="1:31" s="621" customFormat="1" ht="73.5" customHeight="1">
      <c r="A1427" s="1374"/>
      <c r="B1427" s="1374"/>
      <c r="C1427" s="2191">
        <v>3</v>
      </c>
      <c r="D1427" s="2191" t="s">
        <v>107</v>
      </c>
      <c r="E1427" s="2191" t="s">
        <v>196</v>
      </c>
      <c r="F1427" s="2191">
        <v>17</v>
      </c>
      <c r="G1427" s="1374">
        <v>57</v>
      </c>
      <c r="H1427" s="1374"/>
      <c r="I1427" s="1762" t="s">
        <v>2927</v>
      </c>
      <c r="J1427" s="273" t="s">
        <v>2928</v>
      </c>
      <c r="K1427" s="2243">
        <v>60</v>
      </c>
      <c r="L1427" s="2242">
        <v>350420624</v>
      </c>
      <c r="M1427" s="2205">
        <v>12</v>
      </c>
      <c r="N1427" s="2246">
        <v>46428710</v>
      </c>
      <c r="O1427" s="2205">
        <v>0</v>
      </c>
      <c r="P1427" s="2246">
        <v>0</v>
      </c>
      <c r="Q1427" s="2247">
        <v>0</v>
      </c>
      <c r="R1427" s="2246">
        <v>0</v>
      </c>
      <c r="S1427" s="2186">
        <v>0</v>
      </c>
      <c r="T1427" s="2186">
        <v>0</v>
      </c>
      <c r="U1427" s="2186">
        <v>0</v>
      </c>
      <c r="V1427" s="2186">
        <v>0</v>
      </c>
      <c r="W1427" s="2186">
        <v>0</v>
      </c>
      <c r="X1427" s="2186">
        <v>0</v>
      </c>
      <c r="Y1427" s="2205">
        <f t="shared" si="381"/>
        <v>0</v>
      </c>
      <c r="Z1427" s="2186">
        <f t="shared" si="380"/>
        <v>0</v>
      </c>
      <c r="AA1427" s="2205">
        <f t="shared" si="386"/>
        <v>12</v>
      </c>
      <c r="AB1427" s="2209">
        <f t="shared" si="386"/>
        <v>46428710</v>
      </c>
      <c r="AC1427" s="2210">
        <f t="shared" si="387"/>
        <v>0.2</v>
      </c>
      <c r="AD1427" s="2210">
        <f t="shared" si="387"/>
        <v>0.13249422785115525</v>
      </c>
      <c r="AE1427" s="2207" t="s">
        <v>222</v>
      </c>
    </row>
    <row r="1428" spans="1:31" s="621" customFormat="1" ht="60" customHeight="1">
      <c r="A1428" s="1374"/>
      <c r="B1428" s="1374"/>
      <c r="C1428" s="2191">
        <v>3</v>
      </c>
      <c r="D1428" s="2191" t="s">
        <v>107</v>
      </c>
      <c r="E1428" s="2191" t="s">
        <v>196</v>
      </c>
      <c r="F1428" s="2191">
        <v>17</v>
      </c>
      <c r="G1428" s="1374">
        <v>43</v>
      </c>
      <c r="H1428" s="1374"/>
      <c r="I1428" s="1762" t="s">
        <v>2929</v>
      </c>
      <c r="J1428" s="273" t="s">
        <v>2930</v>
      </c>
      <c r="K1428" s="2243">
        <v>3930</v>
      </c>
      <c r="L1428" s="2242">
        <v>1090793320</v>
      </c>
      <c r="M1428" s="2205">
        <v>1698</v>
      </c>
      <c r="N1428" s="2246">
        <v>826624769</v>
      </c>
      <c r="O1428" s="2205">
        <v>0</v>
      </c>
      <c r="P1428" s="2246">
        <v>0</v>
      </c>
      <c r="Q1428" s="2249">
        <v>0</v>
      </c>
      <c r="R1428" s="2246">
        <v>0</v>
      </c>
      <c r="S1428" s="2186">
        <v>0</v>
      </c>
      <c r="T1428" s="2186">
        <v>0</v>
      </c>
      <c r="U1428" s="2186">
        <v>0</v>
      </c>
      <c r="V1428" s="2186">
        <v>0</v>
      </c>
      <c r="W1428" s="2186">
        <v>0</v>
      </c>
      <c r="X1428" s="2186">
        <v>0</v>
      </c>
      <c r="Y1428" s="2205">
        <f t="shared" si="381"/>
        <v>0</v>
      </c>
      <c r="Z1428" s="2186">
        <f t="shared" si="380"/>
        <v>0</v>
      </c>
      <c r="AA1428" s="2205">
        <f t="shared" si="386"/>
        <v>1698</v>
      </c>
      <c r="AB1428" s="2209">
        <f t="shared" si="386"/>
        <v>826624769</v>
      </c>
      <c r="AC1428" s="2210">
        <f t="shared" si="387"/>
        <v>0.43206106870229005</v>
      </c>
      <c r="AD1428" s="2210">
        <f t="shared" si="387"/>
        <v>0.75781979394593291</v>
      </c>
      <c r="AE1428" s="2207" t="s">
        <v>222</v>
      </c>
    </row>
    <row r="1429" spans="1:31" s="621" customFormat="1" ht="71.25" customHeight="1">
      <c r="A1429" s="1374"/>
      <c r="B1429" s="1374"/>
      <c r="C1429" s="2191">
        <v>3</v>
      </c>
      <c r="D1429" s="2191" t="s">
        <v>107</v>
      </c>
      <c r="E1429" s="2191" t="s">
        <v>196</v>
      </c>
      <c r="F1429" s="2191">
        <v>17</v>
      </c>
      <c r="G1429" s="1374">
        <v>57</v>
      </c>
      <c r="H1429" s="1374"/>
      <c r="I1429" s="1762" t="s">
        <v>2931</v>
      </c>
      <c r="J1429" s="273" t="s">
        <v>2932</v>
      </c>
      <c r="K1429" s="2243">
        <v>48</v>
      </c>
      <c r="L1429" s="2242">
        <v>219592389</v>
      </c>
      <c r="M1429" s="2205">
        <v>0</v>
      </c>
      <c r="N1429" s="2250">
        <v>0</v>
      </c>
      <c r="O1429" s="2205">
        <v>12</v>
      </c>
      <c r="P1429" s="2246">
        <v>39592389</v>
      </c>
      <c r="Q1429" s="2249">
        <v>3</v>
      </c>
      <c r="R1429" s="2246">
        <v>1102000</v>
      </c>
      <c r="S1429" s="2186">
        <v>0</v>
      </c>
      <c r="T1429" s="2186">
        <v>0</v>
      </c>
      <c r="U1429" s="2186">
        <v>0</v>
      </c>
      <c r="V1429" s="2186">
        <v>0</v>
      </c>
      <c r="W1429" s="2186">
        <v>0</v>
      </c>
      <c r="X1429" s="2186">
        <v>0</v>
      </c>
      <c r="Y1429" s="2205">
        <f t="shared" si="381"/>
        <v>3</v>
      </c>
      <c r="Z1429" s="2186">
        <f t="shared" si="380"/>
        <v>1102000</v>
      </c>
      <c r="AA1429" s="2205">
        <f t="shared" si="386"/>
        <v>3</v>
      </c>
      <c r="AB1429" s="2209">
        <f t="shared" si="386"/>
        <v>1102000</v>
      </c>
      <c r="AC1429" s="2210">
        <f t="shared" si="387"/>
        <v>6.25E-2</v>
      </c>
      <c r="AD1429" s="2210">
        <f t="shared" si="387"/>
        <v>5.0183888659274074E-3</v>
      </c>
      <c r="AE1429" s="2207" t="s">
        <v>222</v>
      </c>
    </row>
    <row r="1430" spans="1:31" s="497" customFormat="1" ht="57" customHeight="1">
      <c r="A1430" s="1385"/>
      <c r="B1430" s="1385"/>
      <c r="C1430" s="2191">
        <v>3</v>
      </c>
      <c r="D1430" s="2191" t="s">
        <v>107</v>
      </c>
      <c r="E1430" s="2191" t="s">
        <v>196</v>
      </c>
      <c r="F1430" s="1374">
        <v>17</v>
      </c>
      <c r="G1430" s="1781">
        <v>75</v>
      </c>
      <c r="H1430" s="1781"/>
      <c r="I1430" s="2211" t="s">
        <v>2933</v>
      </c>
      <c r="J1430" s="1541" t="s">
        <v>2934</v>
      </c>
      <c r="K1430" s="2243">
        <v>2400</v>
      </c>
      <c r="L1430" s="2242">
        <v>922792510</v>
      </c>
      <c r="M1430" s="2251">
        <v>0</v>
      </c>
      <c r="N1430" s="2246">
        <v>0</v>
      </c>
      <c r="O1430" s="2205">
        <v>600</v>
      </c>
      <c r="P1430" s="2246">
        <v>205792510</v>
      </c>
      <c r="Q1430" s="2251">
        <v>0</v>
      </c>
      <c r="R1430" s="2246">
        <v>14022463</v>
      </c>
      <c r="S1430" s="2186">
        <v>0</v>
      </c>
      <c r="T1430" s="2186">
        <v>0</v>
      </c>
      <c r="U1430" s="2186">
        <v>0</v>
      </c>
      <c r="V1430" s="2186">
        <v>0</v>
      </c>
      <c r="W1430" s="2186">
        <v>0</v>
      </c>
      <c r="X1430" s="2186">
        <v>0</v>
      </c>
      <c r="Y1430" s="2205">
        <f t="shared" ref="Y1430:Z1450" si="388">Q1430</f>
        <v>0</v>
      </c>
      <c r="Z1430" s="2186">
        <f t="shared" si="388"/>
        <v>14022463</v>
      </c>
      <c r="AA1430" s="2205">
        <f t="shared" si="386"/>
        <v>0</v>
      </c>
      <c r="AB1430" s="2209">
        <f t="shared" si="386"/>
        <v>14022463</v>
      </c>
      <c r="AC1430" s="2210">
        <f t="shared" si="387"/>
        <v>0</v>
      </c>
      <c r="AD1430" s="2210">
        <f t="shared" si="387"/>
        <v>1.5195683588719202E-2</v>
      </c>
      <c r="AE1430" s="2207" t="s">
        <v>222</v>
      </c>
    </row>
    <row r="1431" spans="1:31" s="497" customFormat="1" ht="57" customHeight="1">
      <c r="A1431" s="1385"/>
      <c r="B1431" s="1385"/>
      <c r="C1431" s="2191">
        <v>3</v>
      </c>
      <c r="D1431" s="2191" t="s">
        <v>107</v>
      </c>
      <c r="E1431" s="2191" t="s">
        <v>196</v>
      </c>
      <c r="F1431" s="1374">
        <v>17</v>
      </c>
      <c r="G1431" s="1781">
        <v>79</v>
      </c>
      <c r="H1431" s="1781"/>
      <c r="I1431" s="2211" t="s">
        <v>2935</v>
      </c>
      <c r="J1431" s="1541" t="s">
        <v>2908</v>
      </c>
      <c r="K1431" s="2243">
        <v>400</v>
      </c>
      <c r="L1431" s="2242">
        <v>663466849</v>
      </c>
      <c r="M1431" s="2251">
        <v>0</v>
      </c>
      <c r="N1431" s="2246">
        <v>0</v>
      </c>
      <c r="O1431" s="2205">
        <v>100</v>
      </c>
      <c r="P1431" s="2246">
        <v>153466849</v>
      </c>
      <c r="Q1431" s="2251">
        <v>25</v>
      </c>
      <c r="R1431" s="2246">
        <v>0</v>
      </c>
      <c r="S1431" s="2186">
        <v>0</v>
      </c>
      <c r="T1431" s="2186">
        <v>0</v>
      </c>
      <c r="U1431" s="2186">
        <v>0</v>
      </c>
      <c r="V1431" s="2186">
        <v>0</v>
      </c>
      <c r="W1431" s="2186">
        <v>0</v>
      </c>
      <c r="X1431" s="2186">
        <v>0</v>
      </c>
      <c r="Y1431" s="2205">
        <f t="shared" si="388"/>
        <v>25</v>
      </c>
      <c r="Z1431" s="2186">
        <f t="shared" si="388"/>
        <v>0</v>
      </c>
      <c r="AA1431" s="2205">
        <f t="shared" si="386"/>
        <v>25</v>
      </c>
      <c r="AB1431" s="2209">
        <f t="shared" si="386"/>
        <v>0</v>
      </c>
      <c r="AC1431" s="2210">
        <f t="shared" si="387"/>
        <v>6.25E-2</v>
      </c>
      <c r="AD1431" s="2210">
        <f t="shared" si="387"/>
        <v>0</v>
      </c>
      <c r="AE1431" s="2207" t="s">
        <v>222</v>
      </c>
    </row>
    <row r="1432" spans="1:31" s="497" customFormat="1" ht="57" customHeight="1">
      <c r="A1432" s="1385"/>
      <c r="B1432" s="1385"/>
      <c r="C1432" s="2191">
        <v>3</v>
      </c>
      <c r="D1432" s="2191" t="s">
        <v>107</v>
      </c>
      <c r="E1432" s="2191" t="s">
        <v>196</v>
      </c>
      <c r="F1432" s="1374">
        <v>17</v>
      </c>
      <c r="G1432" s="1781">
        <v>80</v>
      </c>
      <c r="H1432" s="1781"/>
      <c r="I1432" s="2211" t="s">
        <v>2936</v>
      </c>
      <c r="J1432" s="1541" t="s">
        <v>2937</v>
      </c>
      <c r="K1432" s="2243">
        <v>180</v>
      </c>
      <c r="L1432" s="2242">
        <v>319077313</v>
      </c>
      <c r="M1432" s="2251">
        <v>0</v>
      </c>
      <c r="N1432" s="2246">
        <v>0</v>
      </c>
      <c r="O1432" s="2205">
        <v>45</v>
      </c>
      <c r="P1432" s="2246">
        <v>96077313</v>
      </c>
      <c r="Q1432" s="2251">
        <v>0</v>
      </c>
      <c r="R1432" s="2246">
        <v>12627500</v>
      </c>
      <c r="S1432" s="2186">
        <v>0</v>
      </c>
      <c r="T1432" s="2186">
        <v>0</v>
      </c>
      <c r="U1432" s="2186">
        <v>0</v>
      </c>
      <c r="V1432" s="2186">
        <v>0</v>
      </c>
      <c r="W1432" s="2186">
        <v>0</v>
      </c>
      <c r="X1432" s="2186">
        <v>0</v>
      </c>
      <c r="Y1432" s="2205">
        <f t="shared" si="388"/>
        <v>0</v>
      </c>
      <c r="Z1432" s="2186">
        <f t="shared" si="388"/>
        <v>12627500</v>
      </c>
      <c r="AA1432" s="2205">
        <f t="shared" si="386"/>
        <v>0</v>
      </c>
      <c r="AB1432" s="2209">
        <f t="shared" si="386"/>
        <v>12627500</v>
      </c>
      <c r="AC1432" s="2210">
        <f t="shared" si="387"/>
        <v>0</v>
      </c>
      <c r="AD1432" s="2210">
        <f t="shared" si="387"/>
        <v>3.9575048069932818E-2</v>
      </c>
      <c r="AE1432" s="2207" t="s">
        <v>222</v>
      </c>
    </row>
    <row r="1433" spans="1:31" s="497" customFormat="1" ht="57" customHeight="1">
      <c r="A1433" s="1385"/>
      <c r="B1433" s="1385"/>
      <c r="C1433" s="2191">
        <v>3</v>
      </c>
      <c r="D1433" s="2191" t="s">
        <v>107</v>
      </c>
      <c r="E1433" s="2191" t="s">
        <v>196</v>
      </c>
      <c r="F1433" s="1374">
        <v>17</v>
      </c>
      <c r="G1433" s="1781">
        <v>82</v>
      </c>
      <c r="H1433" s="1781"/>
      <c r="I1433" s="2211" t="s">
        <v>2938</v>
      </c>
      <c r="J1433" s="1541" t="s">
        <v>2934</v>
      </c>
      <c r="K1433" s="2243">
        <v>360</v>
      </c>
      <c r="L1433" s="2242">
        <v>285087356</v>
      </c>
      <c r="M1433" s="2251">
        <v>0</v>
      </c>
      <c r="N1433" s="2246">
        <v>0</v>
      </c>
      <c r="O1433" s="2205">
        <v>90</v>
      </c>
      <c r="P1433" s="2246">
        <v>45087356</v>
      </c>
      <c r="Q1433" s="2251">
        <v>0</v>
      </c>
      <c r="R1433" s="2246">
        <v>0</v>
      </c>
      <c r="S1433" s="2186">
        <v>0</v>
      </c>
      <c r="T1433" s="2186">
        <v>0</v>
      </c>
      <c r="U1433" s="2186">
        <v>0</v>
      </c>
      <c r="V1433" s="2186">
        <v>0</v>
      </c>
      <c r="W1433" s="2186">
        <v>0</v>
      </c>
      <c r="X1433" s="2186">
        <v>0</v>
      </c>
      <c r="Y1433" s="2205">
        <f t="shared" si="388"/>
        <v>0</v>
      </c>
      <c r="Z1433" s="2186">
        <f t="shared" si="388"/>
        <v>0</v>
      </c>
      <c r="AA1433" s="2205">
        <f t="shared" si="386"/>
        <v>0</v>
      </c>
      <c r="AB1433" s="2209">
        <f t="shared" si="386"/>
        <v>0</v>
      </c>
      <c r="AC1433" s="2210">
        <f t="shared" si="387"/>
        <v>0</v>
      </c>
      <c r="AD1433" s="2210">
        <f t="shared" si="387"/>
        <v>0</v>
      </c>
      <c r="AE1433" s="2207" t="s">
        <v>222</v>
      </c>
    </row>
    <row r="1434" spans="1:31" s="497" customFormat="1" ht="57" customHeight="1">
      <c r="A1434" s="1385"/>
      <c r="B1434" s="1385"/>
      <c r="C1434" s="2191">
        <v>3</v>
      </c>
      <c r="D1434" s="2191" t="s">
        <v>107</v>
      </c>
      <c r="E1434" s="2191" t="s">
        <v>196</v>
      </c>
      <c r="F1434" s="1374">
        <v>17</v>
      </c>
      <c r="G1434" s="1781">
        <v>83</v>
      </c>
      <c r="H1434" s="1781"/>
      <c r="I1434" s="2211" t="s">
        <v>2939</v>
      </c>
      <c r="J1434" s="1541" t="s">
        <v>2934</v>
      </c>
      <c r="K1434" s="2243">
        <v>400</v>
      </c>
      <c r="L1434" s="2242">
        <v>405789327</v>
      </c>
      <c r="M1434" s="2251">
        <v>0</v>
      </c>
      <c r="N1434" s="2246">
        <v>0</v>
      </c>
      <c r="O1434" s="2205">
        <v>100</v>
      </c>
      <c r="P1434" s="2246">
        <v>87789327</v>
      </c>
      <c r="Q1434" s="2251">
        <v>0</v>
      </c>
      <c r="R1434" s="2246">
        <v>8379857</v>
      </c>
      <c r="S1434" s="2186">
        <v>0</v>
      </c>
      <c r="T1434" s="2186">
        <v>0</v>
      </c>
      <c r="U1434" s="2186">
        <v>0</v>
      </c>
      <c r="V1434" s="2186">
        <v>0</v>
      </c>
      <c r="W1434" s="2186">
        <v>0</v>
      </c>
      <c r="X1434" s="2186">
        <v>0</v>
      </c>
      <c r="Y1434" s="2205">
        <f t="shared" si="388"/>
        <v>0</v>
      </c>
      <c r="Z1434" s="2186">
        <f>R1434</f>
        <v>8379857</v>
      </c>
      <c r="AA1434" s="2205">
        <f t="shared" si="386"/>
        <v>0</v>
      </c>
      <c r="AB1434" s="2209">
        <f t="shared" si="386"/>
        <v>8379857</v>
      </c>
      <c r="AC1434" s="2210">
        <f t="shared" si="387"/>
        <v>0</v>
      </c>
      <c r="AD1434" s="2210">
        <f t="shared" si="387"/>
        <v>2.0650757529657747E-2</v>
      </c>
      <c r="AE1434" s="2207" t="s">
        <v>222</v>
      </c>
    </row>
    <row r="1435" spans="1:31" s="497" customFormat="1" ht="57" customHeight="1">
      <c r="A1435" s="1385"/>
      <c r="B1435" s="1385"/>
      <c r="C1435" s="2191">
        <v>3</v>
      </c>
      <c r="D1435" s="2191" t="s">
        <v>107</v>
      </c>
      <c r="E1435" s="2191" t="s">
        <v>196</v>
      </c>
      <c r="F1435" s="1374">
        <v>17</v>
      </c>
      <c r="G1435" s="1781">
        <v>84</v>
      </c>
      <c r="H1435" s="1781"/>
      <c r="I1435" s="2211" t="s">
        <v>2940</v>
      </c>
      <c r="J1435" s="1541" t="s">
        <v>2908</v>
      </c>
      <c r="K1435" s="2243">
        <v>400</v>
      </c>
      <c r="L1435" s="2242">
        <v>253998705</v>
      </c>
      <c r="M1435" s="2251">
        <v>0</v>
      </c>
      <c r="N1435" s="2246">
        <v>0</v>
      </c>
      <c r="O1435" s="2205">
        <v>100</v>
      </c>
      <c r="P1435" s="2246">
        <v>43998705</v>
      </c>
      <c r="Q1435" s="2251">
        <v>25</v>
      </c>
      <c r="R1435" s="2246">
        <v>0</v>
      </c>
      <c r="S1435" s="2186">
        <v>0</v>
      </c>
      <c r="T1435" s="2186">
        <v>0</v>
      </c>
      <c r="U1435" s="2186">
        <v>0</v>
      </c>
      <c r="V1435" s="2186">
        <v>0</v>
      </c>
      <c r="W1435" s="2186">
        <v>0</v>
      </c>
      <c r="X1435" s="2186">
        <v>0</v>
      </c>
      <c r="Y1435" s="2205">
        <f t="shared" si="388"/>
        <v>25</v>
      </c>
      <c r="Z1435" s="2186">
        <f t="shared" si="388"/>
        <v>0</v>
      </c>
      <c r="AA1435" s="2205">
        <f t="shared" si="386"/>
        <v>25</v>
      </c>
      <c r="AB1435" s="2209">
        <f t="shared" si="386"/>
        <v>0</v>
      </c>
      <c r="AC1435" s="2210">
        <f t="shared" si="387"/>
        <v>6.25E-2</v>
      </c>
      <c r="AD1435" s="2210">
        <f t="shared" si="387"/>
        <v>0</v>
      </c>
      <c r="AE1435" s="2207" t="s">
        <v>222</v>
      </c>
    </row>
    <row r="1436" spans="1:31" s="497" customFormat="1" ht="57" customHeight="1">
      <c r="A1436" s="1385"/>
      <c r="B1436" s="1385"/>
      <c r="C1436" s="2191">
        <v>3</v>
      </c>
      <c r="D1436" s="2191" t="s">
        <v>107</v>
      </c>
      <c r="E1436" s="2191" t="s">
        <v>196</v>
      </c>
      <c r="F1436" s="1374">
        <v>17</v>
      </c>
      <c r="G1436" s="1781">
        <v>86</v>
      </c>
      <c r="H1436" s="1781"/>
      <c r="I1436" s="2211" t="s">
        <v>2941</v>
      </c>
      <c r="J1436" s="1541" t="s">
        <v>2908</v>
      </c>
      <c r="K1436" s="2243">
        <v>400</v>
      </c>
      <c r="L1436" s="2242">
        <v>765235935</v>
      </c>
      <c r="M1436" s="2251">
        <v>0</v>
      </c>
      <c r="N1436" s="2246">
        <v>0</v>
      </c>
      <c r="O1436" s="2205">
        <v>1</v>
      </c>
      <c r="P1436" s="2246">
        <v>165235935</v>
      </c>
      <c r="Q1436" s="2251">
        <v>25</v>
      </c>
      <c r="R1436" s="2246">
        <v>0</v>
      </c>
      <c r="S1436" s="2186">
        <v>0</v>
      </c>
      <c r="T1436" s="2186">
        <v>0</v>
      </c>
      <c r="U1436" s="2186">
        <v>0</v>
      </c>
      <c r="V1436" s="2186">
        <v>0</v>
      </c>
      <c r="W1436" s="2186">
        <v>0</v>
      </c>
      <c r="X1436" s="2186">
        <v>0</v>
      </c>
      <c r="Y1436" s="2205">
        <f t="shared" si="388"/>
        <v>25</v>
      </c>
      <c r="Z1436" s="2186">
        <f t="shared" si="388"/>
        <v>0</v>
      </c>
      <c r="AA1436" s="2205">
        <f t="shared" si="386"/>
        <v>25</v>
      </c>
      <c r="AB1436" s="2209">
        <f t="shared" si="386"/>
        <v>0</v>
      </c>
      <c r="AC1436" s="2210">
        <f t="shared" si="387"/>
        <v>6.25E-2</v>
      </c>
      <c r="AD1436" s="2210">
        <f t="shared" si="387"/>
        <v>0</v>
      </c>
      <c r="AE1436" s="2207" t="s">
        <v>222</v>
      </c>
    </row>
    <row r="1437" spans="1:31" s="497" customFormat="1" ht="69" customHeight="1">
      <c r="A1437" s="2191" t="s">
        <v>201</v>
      </c>
      <c r="B1437" s="2589" t="s">
        <v>2942</v>
      </c>
      <c r="C1437" s="2191"/>
      <c r="D1437" s="2191"/>
      <c r="E1437" s="2191"/>
      <c r="F1437" s="1374"/>
      <c r="G1437" s="1781"/>
      <c r="H1437" s="1781"/>
      <c r="I1437" s="2192" t="s">
        <v>2943</v>
      </c>
      <c r="J1437" s="1541"/>
      <c r="K1437" s="2252">
        <v>0.9</v>
      </c>
      <c r="L1437" s="2253">
        <v>3451292.99</v>
      </c>
      <c r="M1437" s="2252">
        <v>0.9</v>
      </c>
      <c r="N1437" s="2224">
        <v>1091508.8799999999</v>
      </c>
      <c r="O1437" s="2252">
        <v>0.9</v>
      </c>
      <c r="P1437" s="2224">
        <v>580369.78</v>
      </c>
      <c r="Q1437" s="2251"/>
      <c r="R1437" s="2246"/>
      <c r="S1437" s="2246"/>
      <c r="T1437" s="2246"/>
      <c r="U1437" s="2246"/>
      <c r="V1437" s="2246"/>
      <c r="W1437" s="2246"/>
      <c r="X1437" s="2246"/>
      <c r="Y1437" s="2205"/>
      <c r="Z1437" s="2186">
        <f t="shared" si="388"/>
        <v>0</v>
      </c>
      <c r="AA1437" s="2215"/>
      <c r="AB1437" s="2209">
        <f t="shared" ref="AB1437:AB1443" si="389">N1437+Z1437</f>
        <v>1091508.8799999999</v>
      </c>
      <c r="AC1437" s="2206"/>
      <c r="AD1437" s="2216">
        <f t="shared" ref="AD1437:AD1443" si="390">AB1437/L1437*100%</f>
        <v>0.3162608573547967</v>
      </c>
      <c r="AE1437" s="2207"/>
    </row>
    <row r="1438" spans="1:31" s="497" customFormat="1" ht="57" customHeight="1">
      <c r="A1438" s="1385"/>
      <c r="B1438" s="2589"/>
      <c r="C1438" s="2191">
        <v>3</v>
      </c>
      <c r="D1438" s="2191" t="s">
        <v>107</v>
      </c>
      <c r="E1438" s="2191" t="s">
        <v>196</v>
      </c>
      <c r="F1438" s="1374">
        <v>18</v>
      </c>
      <c r="G1438" s="1781" t="s">
        <v>197</v>
      </c>
      <c r="H1438" s="1781"/>
      <c r="I1438" s="2211" t="s">
        <v>2944</v>
      </c>
      <c r="J1438" s="1541" t="s">
        <v>2945</v>
      </c>
      <c r="K1438" s="2243">
        <v>240</v>
      </c>
      <c r="L1438" s="2242">
        <v>380076292</v>
      </c>
      <c r="M1438" s="2251">
        <v>80</v>
      </c>
      <c r="N1438" s="2246">
        <v>69066135</v>
      </c>
      <c r="O1438" s="2205">
        <v>40</v>
      </c>
      <c r="P1438" s="2246">
        <v>55404764</v>
      </c>
      <c r="Q1438" s="2251">
        <v>0</v>
      </c>
      <c r="R1438" s="2246">
        <v>0</v>
      </c>
      <c r="S1438" s="2186">
        <v>0</v>
      </c>
      <c r="T1438" s="2186">
        <v>0</v>
      </c>
      <c r="U1438" s="2186">
        <v>0</v>
      </c>
      <c r="V1438" s="2186">
        <v>0</v>
      </c>
      <c r="W1438" s="2186">
        <v>0</v>
      </c>
      <c r="X1438" s="2186">
        <v>0</v>
      </c>
      <c r="Y1438" s="2205">
        <f t="shared" ref="Y1438:Y1443" si="391">Q1438</f>
        <v>0</v>
      </c>
      <c r="Z1438" s="2186">
        <f t="shared" si="388"/>
        <v>0</v>
      </c>
      <c r="AA1438" s="2205">
        <f t="shared" ref="AA1438:AA1443" si="392">M1438+Y1438</f>
        <v>80</v>
      </c>
      <c r="AB1438" s="2209">
        <f t="shared" si="389"/>
        <v>69066135</v>
      </c>
      <c r="AC1438" s="2210">
        <f t="shared" ref="AC1438:AC1443" si="393">AA1438/K1438*100%</f>
        <v>0.33333333333333331</v>
      </c>
      <c r="AD1438" s="2210">
        <f t="shared" si="390"/>
        <v>0.18171650390653674</v>
      </c>
      <c r="AE1438" s="2207" t="s">
        <v>222</v>
      </c>
    </row>
    <row r="1439" spans="1:31" s="497" customFormat="1" ht="57" customHeight="1">
      <c r="A1439" s="1385"/>
      <c r="B1439" s="1385"/>
      <c r="C1439" s="2191"/>
      <c r="D1439" s="2191"/>
      <c r="E1439" s="2191"/>
      <c r="F1439" s="1374"/>
      <c r="G1439" s="1781"/>
      <c r="H1439" s="1781"/>
      <c r="I1439" s="2211" t="s">
        <v>2946</v>
      </c>
      <c r="J1439" s="1541" t="s">
        <v>2947</v>
      </c>
      <c r="K1439" s="2243">
        <v>72</v>
      </c>
      <c r="L1439" s="2242">
        <v>316212864</v>
      </c>
      <c r="M1439" s="2251">
        <v>24</v>
      </c>
      <c r="N1439" s="2246">
        <v>157746322</v>
      </c>
      <c r="O1439" s="2205">
        <v>0</v>
      </c>
      <c r="P1439" s="2246">
        <v>0</v>
      </c>
      <c r="Q1439" s="2251">
        <v>0</v>
      </c>
      <c r="R1439" s="2246">
        <v>0</v>
      </c>
      <c r="S1439" s="2186">
        <v>0</v>
      </c>
      <c r="T1439" s="2186">
        <v>0</v>
      </c>
      <c r="U1439" s="2186">
        <v>0</v>
      </c>
      <c r="V1439" s="2186">
        <v>0</v>
      </c>
      <c r="W1439" s="2186">
        <v>0</v>
      </c>
      <c r="X1439" s="2186">
        <v>0</v>
      </c>
      <c r="Y1439" s="2205">
        <f t="shared" si="391"/>
        <v>0</v>
      </c>
      <c r="Z1439" s="2186">
        <f t="shared" si="388"/>
        <v>0</v>
      </c>
      <c r="AA1439" s="2205">
        <f t="shared" si="392"/>
        <v>24</v>
      </c>
      <c r="AB1439" s="2209">
        <f t="shared" si="389"/>
        <v>157746322</v>
      </c>
      <c r="AC1439" s="2210">
        <f t="shared" si="393"/>
        <v>0.33333333333333331</v>
      </c>
      <c r="AD1439" s="2210">
        <f t="shared" si="390"/>
        <v>0.49886117852561496</v>
      </c>
      <c r="AE1439" s="2207" t="s">
        <v>222</v>
      </c>
    </row>
    <row r="1440" spans="1:31" s="497" customFormat="1" ht="57" customHeight="1">
      <c r="A1440" s="1385"/>
      <c r="B1440" s="1385"/>
      <c r="C1440" s="2191">
        <v>3</v>
      </c>
      <c r="D1440" s="2191" t="s">
        <v>107</v>
      </c>
      <c r="E1440" s="2191" t="s">
        <v>196</v>
      </c>
      <c r="F1440" s="1374">
        <v>18</v>
      </c>
      <c r="G1440" s="1781" t="s">
        <v>201</v>
      </c>
      <c r="H1440" s="1781"/>
      <c r="I1440" s="2211" t="s">
        <v>2948</v>
      </c>
      <c r="J1440" s="1541" t="s">
        <v>2947</v>
      </c>
      <c r="K1440" s="2243">
        <v>72</v>
      </c>
      <c r="L1440" s="2242">
        <v>456134330</v>
      </c>
      <c r="M1440" s="2251">
        <v>24</v>
      </c>
      <c r="N1440" s="2246">
        <v>126849549</v>
      </c>
      <c r="O1440" s="2205">
        <v>12</v>
      </c>
      <c r="P1440" s="2246">
        <v>66420690</v>
      </c>
      <c r="Q1440" s="2251">
        <v>3</v>
      </c>
      <c r="R1440" s="2246">
        <v>16781942</v>
      </c>
      <c r="S1440" s="2186">
        <v>0</v>
      </c>
      <c r="T1440" s="2186">
        <v>0</v>
      </c>
      <c r="U1440" s="2186">
        <v>0</v>
      </c>
      <c r="V1440" s="2186">
        <v>0</v>
      </c>
      <c r="W1440" s="2186">
        <v>0</v>
      </c>
      <c r="X1440" s="2186">
        <v>0</v>
      </c>
      <c r="Y1440" s="2205">
        <f t="shared" si="391"/>
        <v>3</v>
      </c>
      <c r="Z1440" s="2186">
        <f t="shared" si="388"/>
        <v>16781942</v>
      </c>
      <c r="AA1440" s="2205">
        <f t="shared" si="392"/>
        <v>27</v>
      </c>
      <c r="AB1440" s="2209">
        <f t="shared" si="389"/>
        <v>143631491</v>
      </c>
      <c r="AC1440" s="2210">
        <f t="shared" si="393"/>
        <v>0.375</v>
      </c>
      <c r="AD1440" s="2210">
        <f t="shared" si="390"/>
        <v>0.31488857898505468</v>
      </c>
      <c r="AE1440" s="2207" t="s">
        <v>222</v>
      </c>
    </row>
    <row r="1441" spans="1:31" s="497" customFormat="1" ht="57" customHeight="1">
      <c r="A1441" s="1385"/>
      <c r="B1441" s="1385"/>
      <c r="C1441" s="2191">
        <v>1</v>
      </c>
      <c r="D1441" s="2191">
        <v>20</v>
      </c>
      <c r="E1441" s="2191">
        <v>28</v>
      </c>
      <c r="F1441" s="1374">
        <v>18</v>
      </c>
      <c r="G1441" s="1781" t="s">
        <v>417</v>
      </c>
      <c r="H1441" s="1781"/>
      <c r="I1441" s="2211" t="s">
        <v>2949</v>
      </c>
      <c r="J1441" s="1541" t="s">
        <v>2950</v>
      </c>
      <c r="K1441" s="2243">
        <v>1200</v>
      </c>
      <c r="L1441" s="2242">
        <v>962188806</v>
      </c>
      <c r="M1441" s="2251">
        <v>400</v>
      </c>
      <c r="N1441" s="2246">
        <v>165748260</v>
      </c>
      <c r="O1441" s="2205">
        <v>0</v>
      </c>
      <c r="P1441" s="2246">
        <v>0</v>
      </c>
      <c r="Q1441" s="2251">
        <v>0</v>
      </c>
      <c r="R1441" s="2246">
        <v>0</v>
      </c>
      <c r="S1441" s="2186">
        <v>0</v>
      </c>
      <c r="T1441" s="2186">
        <v>0</v>
      </c>
      <c r="U1441" s="2186">
        <v>0</v>
      </c>
      <c r="V1441" s="2186">
        <v>0</v>
      </c>
      <c r="W1441" s="2186">
        <v>0</v>
      </c>
      <c r="X1441" s="2186">
        <v>0</v>
      </c>
      <c r="Y1441" s="2205">
        <f t="shared" si="391"/>
        <v>0</v>
      </c>
      <c r="Z1441" s="2186">
        <f t="shared" si="388"/>
        <v>0</v>
      </c>
      <c r="AA1441" s="2205">
        <f t="shared" si="392"/>
        <v>400</v>
      </c>
      <c r="AB1441" s="2209">
        <f t="shared" si="389"/>
        <v>165748260</v>
      </c>
      <c r="AC1441" s="2210">
        <f t="shared" si="393"/>
        <v>0.33333333333333331</v>
      </c>
      <c r="AD1441" s="2210">
        <f t="shared" si="390"/>
        <v>0.17226167979343546</v>
      </c>
      <c r="AE1441" s="2207" t="s">
        <v>222</v>
      </c>
    </row>
    <row r="1442" spans="1:31" s="497" customFormat="1" ht="57" customHeight="1">
      <c r="A1442" s="1385"/>
      <c r="B1442" s="1385"/>
      <c r="C1442" s="2191">
        <v>3</v>
      </c>
      <c r="D1442" s="2191" t="s">
        <v>107</v>
      </c>
      <c r="E1442" s="2191" t="s">
        <v>196</v>
      </c>
      <c r="F1442" s="1374">
        <v>18</v>
      </c>
      <c r="G1442" s="1523">
        <v>12</v>
      </c>
      <c r="H1442" s="1523"/>
      <c r="I1442" s="2211" t="s">
        <v>2951</v>
      </c>
      <c r="J1442" s="1541" t="s">
        <v>2952</v>
      </c>
      <c r="K1442" s="2243">
        <v>500</v>
      </c>
      <c r="L1442" s="2242">
        <v>1059999088</v>
      </c>
      <c r="M1442" s="2251">
        <v>100</v>
      </c>
      <c r="N1442" s="2246">
        <v>174254396</v>
      </c>
      <c r="O1442" s="2205">
        <v>0</v>
      </c>
      <c r="P1442" s="2246">
        <v>0</v>
      </c>
      <c r="Q1442" s="2251">
        <v>0</v>
      </c>
      <c r="R1442" s="2246">
        <v>0</v>
      </c>
      <c r="S1442" s="2186">
        <v>0</v>
      </c>
      <c r="T1442" s="2186">
        <v>0</v>
      </c>
      <c r="U1442" s="2186">
        <v>0</v>
      </c>
      <c r="V1442" s="2186">
        <v>0</v>
      </c>
      <c r="W1442" s="2186">
        <v>0</v>
      </c>
      <c r="X1442" s="2186">
        <v>0</v>
      </c>
      <c r="Y1442" s="2205">
        <f t="shared" si="391"/>
        <v>0</v>
      </c>
      <c r="Z1442" s="2186">
        <f t="shared" si="388"/>
        <v>0</v>
      </c>
      <c r="AA1442" s="2205">
        <f t="shared" si="392"/>
        <v>100</v>
      </c>
      <c r="AB1442" s="2209">
        <f t="shared" si="389"/>
        <v>174254396</v>
      </c>
      <c r="AC1442" s="2210">
        <f t="shared" si="393"/>
        <v>0.2</v>
      </c>
      <c r="AD1442" s="2210">
        <f t="shared" si="390"/>
        <v>0.16439108106100558</v>
      </c>
      <c r="AE1442" s="2207" t="s">
        <v>222</v>
      </c>
    </row>
    <row r="1443" spans="1:31" s="497" customFormat="1" ht="57" customHeight="1">
      <c r="A1443" s="1385"/>
      <c r="B1443" s="1385"/>
      <c r="C1443" s="2191">
        <v>3</v>
      </c>
      <c r="D1443" s="2191" t="s">
        <v>107</v>
      </c>
      <c r="E1443" s="2191" t="s">
        <v>196</v>
      </c>
      <c r="F1443" s="1374">
        <v>18</v>
      </c>
      <c r="G1443" s="1523">
        <v>13</v>
      </c>
      <c r="H1443" s="1523"/>
      <c r="I1443" s="2211" t="s">
        <v>2953</v>
      </c>
      <c r="J1443" s="1541" t="s">
        <v>2908</v>
      </c>
      <c r="K1443" s="2243">
        <v>400</v>
      </c>
      <c r="L1443" s="2242">
        <v>325200802</v>
      </c>
      <c r="M1443" s="2251">
        <v>0</v>
      </c>
      <c r="N1443" s="2246">
        <v>0</v>
      </c>
      <c r="O1443" s="2205">
        <v>100</v>
      </c>
      <c r="P1443" s="2246">
        <v>55200802</v>
      </c>
      <c r="Q1443" s="2251">
        <v>25</v>
      </c>
      <c r="R1443" s="2246">
        <v>19737280</v>
      </c>
      <c r="S1443" s="2186">
        <v>0</v>
      </c>
      <c r="T1443" s="2186">
        <v>0</v>
      </c>
      <c r="U1443" s="2186">
        <v>0</v>
      </c>
      <c r="V1443" s="2186">
        <v>0</v>
      </c>
      <c r="W1443" s="2186">
        <v>0</v>
      </c>
      <c r="X1443" s="2186">
        <v>0</v>
      </c>
      <c r="Y1443" s="2205">
        <f t="shared" si="391"/>
        <v>25</v>
      </c>
      <c r="Z1443" s="2186">
        <f t="shared" si="388"/>
        <v>19737280</v>
      </c>
      <c r="AA1443" s="2205">
        <f t="shared" si="392"/>
        <v>25</v>
      </c>
      <c r="AB1443" s="2209">
        <f t="shared" si="389"/>
        <v>19737280</v>
      </c>
      <c r="AC1443" s="2210">
        <f t="shared" si="393"/>
        <v>6.25E-2</v>
      </c>
      <c r="AD1443" s="2210">
        <f t="shared" si="390"/>
        <v>6.0692593248893645E-2</v>
      </c>
      <c r="AE1443" s="2207" t="s">
        <v>222</v>
      </c>
    </row>
    <row r="1444" spans="1:31" s="497" customFormat="1">
      <c r="A1444" s="1385"/>
      <c r="B1444" s="1385"/>
      <c r="C1444" s="1385"/>
      <c r="D1444" s="1385"/>
      <c r="E1444" s="1385"/>
      <c r="F1444" s="1385"/>
      <c r="G1444" s="1385"/>
      <c r="H1444" s="1385"/>
      <c r="I1444" s="2254"/>
      <c r="J1444" s="1385"/>
      <c r="K1444" s="2204"/>
      <c r="L1444" s="2186"/>
      <c r="M1444" s="2205"/>
      <c r="N1444" s="2186"/>
      <c r="O1444" s="2205"/>
      <c r="P1444" s="2186"/>
      <c r="Q1444" s="2205"/>
      <c r="R1444" s="2186"/>
      <c r="S1444" s="2186"/>
      <c r="T1444" s="2186"/>
      <c r="U1444" s="2186"/>
      <c r="V1444" s="2186"/>
      <c r="W1444" s="2186"/>
      <c r="X1444" s="2186"/>
      <c r="Y1444" s="2205"/>
      <c r="Z1444" s="2186">
        <f t="shared" si="388"/>
        <v>0</v>
      </c>
      <c r="AA1444" s="2215"/>
      <c r="AB1444" s="2209"/>
      <c r="AC1444" s="2206"/>
      <c r="AD1444" s="2216"/>
      <c r="AE1444" s="2207"/>
    </row>
    <row r="1445" spans="1:31" s="616" customFormat="1" ht="69.75" customHeight="1">
      <c r="A1445" s="2191" t="s">
        <v>202</v>
      </c>
      <c r="B1445" s="2589" t="s">
        <v>2954</v>
      </c>
      <c r="C1445" s="1374">
        <v>3</v>
      </c>
      <c r="D1445" s="2191" t="s">
        <v>107</v>
      </c>
      <c r="E1445" s="2191" t="s">
        <v>196</v>
      </c>
      <c r="F1445" s="1374">
        <v>19</v>
      </c>
      <c r="G1445" s="1374"/>
      <c r="H1445" s="1374"/>
      <c r="I1445" s="2192" t="s">
        <v>2955</v>
      </c>
      <c r="J1445" s="2234" t="s">
        <v>2956</v>
      </c>
      <c r="K1445" s="2252">
        <v>0.9</v>
      </c>
      <c r="L1445" s="2253">
        <v>1517572.81</v>
      </c>
      <c r="M1445" s="2252">
        <v>0.9</v>
      </c>
      <c r="N1445" s="2226">
        <v>513802.82</v>
      </c>
      <c r="O1445" s="2252">
        <v>0.9</v>
      </c>
      <c r="P1445" s="2226">
        <v>247110</v>
      </c>
      <c r="Q1445" s="2251"/>
      <c r="R1445" s="2186"/>
      <c r="S1445" s="2186"/>
      <c r="T1445" s="2186"/>
      <c r="U1445" s="2186"/>
      <c r="V1445" s="2186"/>
      <c r="W1445" s="2186"/>
      <c r="X1445" s="2186"/>
      <c r="Y1445" s="2205"/>
      <c r="Z1445" s="2186">
        <f t="shared" si="388"/>
        <v>0</v>
      </c>
      <c r="AA1445" s="2215"/>
      <c r="AB1445" s="2209"/>
      <c r="AC1445" s="2202"/>
      <c r="AD1445" s="2216"/>
      <c r="AE1445" s="2204"/>
    </row>
    <row r="1446" spans="1:31" s="616" customFormat="1" ht="60" customHeight="1">
      <c r="A1446" s="1374"/>
      <c r="B1446" s="2589"/>
      <c r="C1446" s="1374">
        <v>3</v>
      </c>
      <c r="D1446" s="2191" t="s">
        <v>107</v>
      </c>
      <c r="E1446" s="2191" t="s">
        <v>196</v>
      </c>
      <c r="F1446" s="1374">
        <v>19</v>
      </c>
      <c r="G1446" s="2191" t="s">
        <v>201</v>
      </c>
      <c r="H1446" s="2191"/>
      <c r="I1446" s="1762" t="s">
        <v>2957</v>
      </c>
      <c r="J1446" s="1380" t="s">
        <v>2958</v>
      </c>
      <c r="K1446" s="2255">
        <v>1092</v>
      </c>
      <c r="L1446" s="2242">
        <v>373472746</v>
      </c>
      <c r="M1446" s="2251">
        <v>364</v>
      </c>
      <c r="N1446" s="2186">
        <v>96134892</v>
      </c>
      <c r="O1446" s="2205">
        <v>182</v>
      </c>
      <c r="P1446" s="2186">
        <v>36642282</v>
      </c>
      <c r="Q1446" s="2251">
        <v>0</v>
      </c>
      <c r="R1446" s="2186">
        <v>20014368</v>
      </c>
      <c r="S1446" s="2186">
        <v>0</v>
      </c>
      <c r="T1446" s="2186">
        <v>0</v>
      </c>
      <c r="U1446" s="2186">
        <v>0</v>
      </c>
      <c r="V1446" s="2186">
        <v>0</v>
      </c>
      <c r="W1446" s="2186">
        <v>0</v>
      </c>
      <c r="X1446" s="2186">
        <v>0</v>
      </c>
      <c r="Y1446" s="2205">
        <f t="shared" si="388"/>
        <v>0</v>
      </c>
      <c r="Z1446" s="2186">
        <f t="shared" si="388"/>
        <v>20014368</v>
      </c>
      <c r="AA1446" s="2205">
        <f t="shared" ref="AA1446:AB1449" si="394">M1446+Y1446</f>
        <v>364</v>
      </c>
      <c r="AB1446" s="2209">
        <f t="shared" si="394"/>
        <v>116149260</v>
      </c>
      <c r="AC1446" s="2210">
        <f t="shared" ref="AC1446:AD1449" si="395">AA1446/K1446*100%</f>
        <v>0.33333333333333331</v>
      </c>
      <c r="AD1446" s="2210">
        <f t="shared" si="395"/>
        <v>0.31099795431926913</v>
      </c>
      <c r="AE1446" s="2207" t="s">
        <v>222</v>
      </c>
    </row>
    <row r="1447" spans="1:31" s="497" customFormat="1" ht="60.75" customHeight="1">
      <c r="A1447" s="1385"/>
      <c r="B1447" s="1385"/>
      <c r="C1447" s="1374">
        <v>3</v>
      </c>
      <c r="D1447" s="2191" t="s">
        <v>107</v>
      </c>
      <c r="E1447" s="2191" t="s">
        <v>196</v>
      </c>
      <c r="F1447" s="1374">
        <v>19</v>
      </c>
      <c r="G1447" s="1385">
        <v>10</v>
      </c>
      <c r="H1447" s="1385"/>
      <c r="I1447" s="2211" t="s">
        <v>2959</v>
      </c>
      <c r="J1447" s="1541" t="s">
        <v>2960</v>
      </c>
      <c r="K1447" s="2243">
        <v>72</v>
      </c>
      <c r="L1447" s="2242">
        <v>351118231</v>
      </c>
      <c r="M1447" s="2205">
        <v>24</v>
      </c>
      <c r="N1447" s="2246">
        <v>199344635</v>
      </c>
      <c r="O1447" s="2205">
        <v>12</v>
      </c>
      <c r="P1447" s="2246">
        <v>42116855</v>
      </c>
      <c r="Q1447" s="2251">
        <v>3</v>
      </c>
      <c r="R1447" s="2246">
        <v>27999615</v>
      </c>
      <c r="S1447" s="2186">
        <v>0</v>
      </c>
      <c r="T1447" s="2186">
        <v>0</v>
      </c>
      <c r="U1447" s="2186">
        <v>0</v>
      </c>
      <c r="V1447" s="2186">
        <v>0</v>
      </c>
      <c r="W1447" s="2186">
        <v>0</v>
      </c>
      <c r="X1447" s="2186">
        <v>0</v>
      </c>
      <c r="Y1447" s="2205">
        <f>Q1447</f>
        <v>3</v>
      </c>
      <c r="Z1447" s="2186">
        <f t="shared" si="388"/>
        <v>27999615</v>
      </c>
      <c r="AA1447" s="2205">
        <f t="shared" si="394"/>
        <v>27</v>
      </c>
      <c r="AB1447" s="2209">
        <f t="shared" si="394"/>
        <v>227344250</v>
      </c>
      <c r="AC1447" s="2210">
        <f t="shared" si="395"/>
        <v>0.375</v>
      </c>
      <c r="AD1447" s="2210">
        <f t="shared" si="395"/>
        <v>0.64748631636845999</v>
      </c>
      <c r="AE1447" s="2207" t="s">
        <v>222</v>
      </c>
    </row>
    <row r="1448" spans="1:31" s="497" customFormat="1" ht="60.75" customHeight="1">
      <c r="A1448" s="1385"/>
      <c r="B1448" s="1385"/>
      <c r="C1448" s="1374">
        <v>3</v>
      </c>
      <c r="D1448" s="2191" t="s">
        <v>107</v>
      </c>
      <c r="E1448" s="2191" t="s">
        <v>196</v>
      </c>
      <c r="F1448" s="1374">
        <v>19</v>
      </c>
      <c r="G1448" s="1385">
        <v>16</v>
      </c>
      <c r="H1448" s="1385"/>
      <c r="I1448" s="2211" t="s">
        <v>2961</v>
      </c>
      <c r="J1448" s="1541" t="s">
        <v>2908</v>
      </c>
      <c r="K1448" s="2243">
        <v>400</v>
      </c>
      <c r="L1448" s="2242">
        <v>361033726</v>
      </c>
      <c r="M1448" s="2205">
        <v>0</v>
      </c>
      <c r="N1448" s="2246">
        <v>0</v>
      </c>
      <c r="O1448" s="2205">
        <v>100</v>
      </c>
      <c r="P1448" s="2246">
        <v>61033726</v>
      </c>
      <c r="Q1448" s="2251">
        <v>25</v>
      </c>
      <c r="R1448" s="2246">
        <v>0</v>
      </c>
      <c r="S1448" s="2186">
        <v>0</v>
      </c>
      <c r="T1448" s="2186">
        <v>0</v>
      </c>
      <c r="U1448" s="2186">
        <v>0</v>
      </c>
      <c r="V1448" s="2186">
        <v>0</v>
      </c>
      <c r="W1448" s="2186">
        <v>0</v>
      </c>
      <c r="X1448" s="2186">
        <v>0</v>
      </c>
      <c r="Y1448" s="2205">
        <f>Q1448</f>
        <v>25</v>
      </c>
      <c r="Z1448" s="2186">
        <f t="shared" si="388"/>
        <v>0</v>
      </c>
      <c r="AA1448" s="2205">
        <f t="shared" si="394"/>
        <v>25</v>
      </c>
      <c r="AB1448" s="2209">
        <f t="shared" si="394"/>
        <v>0</v>
      </c>
      <c r="AC1448" s="2210">
        <f t="shared" si="395"/>
        <v>6.25E-2</v>
      </c>
      <c r="AD1448" s="2210">
        <f t="shared" si="395"/>
        <v>0</v>
      </c>
      <c r="AE1448" s="2207" t="s">
        <v>222</v>
      </c>
    </row>
    <row r="1449" spans="1:31" s="497" customFormat="1" ht="58.5" customHeight="1">
      <c r="A1449" s="1385"/>
      <c r="B1449" s="1385"/>
      <c r="C1449" s="1374">
        <v>3</v>
      </c>
      <c r="D1449" s="2191" t="s">
        <v>107</v>
      </c>
      <c r="E1449" s="2191" t="s">
        <v>196</v>
      </c>
      <c r="F1449" s="1374">
        <v>19</v>
      </c>
      <c r="G1449" s="1385">
        <v>12</v>
      </c>
      <c r="H1449" s="1385"/>
      <c r="I1449" s="2211" t="s">
        <v>2962</v>
      </c>
      <c r="J1449" s="1541" t="s">
        <v>2963</v>
      </c>
      <c r="K1449" s="2241">
        <v>600</v>
      </c>
      <c r="L1449" s="2242">
        <v>693977112</v>
      </c>
      <c r="M1449" s="2205">
        <v>200</v>
      </c>
      <c r="N1449" s="2246">
        <v>202753812</v>
      </c>
      <c r="O1449" s="2205">
        <v>0</v>
      </c>
      <c r="P1449" s="2246">
        <v>0</v>
      </c>
      <c r="Q1449" s="2251">
        <v>0</v>
      </c>
      <c r="R1449" s="2246">
        <v>0</v>
      </c>
      <c r="S1449" s="2186">
        <v>0</v>
      </c>
      <c r="T1449" s="2186">
        <v>0</v>
      </c>
      <c r="U1449" s="2186">
        <v>0</v>
      </c>
      <c r="V1449" s="2186">
        <v>0</v>
      </c>
      <c r="W1449" s="2186">
        <v>0</v>
      </c>
      <c r="X1449" s="2186">
        <v>0</v>
      </c>
      <c r="Y1449" s="2205">
        <f t="shared" si="388"/>
        <v>0</v>
      </c>
      <c r="Z1449" s="2186">
        <f t="shared" si="388"/>
        <v>0</v>
      </c>
      <c r="AA1449" s="2205">
        <f t="shared" si="394"/>
        <v>200</v>
      </c>
      <c r="AB1449" s="2209">
        <f t="shared" si="394"/>
        <v>202753812</v>
      </c>
      <c r="AC1449" s="2210">
        <f t="shared" si="395"/>
        <v>0.33333333333333331</v>
      </c>
      <c r="AD1449" s="2210">
        <f t="shared" si="395"/>
        <v>0.29216210231440604</v>
      </c>
      <c r="AE1449" s="2207" t="s">
        <v>222</v>
      </c>
    </row>
    <row r="1450" spans="1:31" s="497" customFormat="1" ht="23.25" customHeight="1">
      <c r="A1450" s="2590" t="s">
        <v>607</v>
      </c>
      <c r="B1450" s="2590"/>
      <c r="C1450" s="2211"/>
      <c r="D1450" s="2211"/>
      <c r="E1450" s="2211"/>
      <c r="F1450" s="2211"/>
      <c r="G1450" s="2211"/>
      <c r="H1450" s="2211"/>
      <c r="I1450" s="2211"/>
      <c r="J1450" s="2211"/>
      <c r="K1450" s="2256"/>
      <c r="L1450" s="2257"/>
      <c r="M1450" s="2258"/>
      <c r="N1450" s="2259">
        <f>SUM(N1352:N1449)</f>
        <v>22949745990.570004</v>
      </c>
      <c r="O1450" s="2258"/>
      <c r="P1450" s="2260">
        <v>6491291028</v>
      </c>
      <c r="Q1450" s="2205">
        <v>0.34520000000000001</v>
      </c>
      <c r="R1450" s="2200">
        <f>SUM(R1352:R1449)</f>
        <v>923489802</v>
      </c>
      <c r="S1450" s="2200"/>
      <c r="T1450" s="2200"/>
      <c r="U1450" s="2200"/>
      <c r="V1450" s="2200"/>
      <c r="W1450" s="2200"/>
      <c r="X1450" s="2200"/>
      <c r="Y1450" s="2205">
        <f t="shared" si="388"/>
        <v>0.34520000000000001</v>
      </c>
      <c r="Z1450" s="2200">
        <f>SUM(Z1352:Z1449)</f>
        <v>923489802</v>
      </c>
      <c r="AA1450" s="2200"/>
      <c r="AB1450" s="2200">
        <f>SUM(AB1352:AB1449)</f>
        <v>23093390978.880001</v>
      </c>
      <c r="AC1450" s="2207"/>
      <c r="AD1450" s="2207"/>
      <c r="AE1450" s="1385"/>
    </row>
    <row r="1451" spans="1:31" s="497" customFormat="1" ht="30" customHeight="1">
      <c r="A1451" s="2591" t="s">
        <v>1230</v>
      </c>
      <c r="B1451" s="2591"/>
      <c r="C1451" s="2591"/>
      <c r="D1451" s="2591"/>
      <c r="E1451" s="2591"/>
      <c r="F1451" s="2591"/>
      <c r="G1451" s="2591"/>
      <c r="H1451" s="2591"/>
      <c r="I1451" s="2591"/>
      <c r="J1451" s="2591"/>
      <c r="K1451" s="2591"/>
      <c r="L1451" s="2591"/>
      <c r="M1451" s="2591"/>
      <c r="N1451" s="2591"/>
      <c r="O1451" s="2591"/>
      <c r="P1451" s="2591"/>
      <c r="Q1451" s="2205"/>
      <c r="R1451" s="2261"/>
      <c r="S1451" s="2261"/>
      <c r="T1451" s="2261"/>
      <c r="U1451" s="2261"/>
      <c r="V1451" s="2261"/>
      <c r="W1451" s="2261"/>
      <c r="X1451" s="2261"/>
      <c r="Y1451" s="2205"/>
      <c r="Z1451" s="2204"/>
      <c r="AA1451" s="2204"/>
      <c r="AB1451" s="2204"/>
      <c r="AC1451" s="2207"/>
      <c r="AD1451" s="2207"/>
      <c r="AE1451" s="1385"/>
    </row>
    <row r="1452" spans="1:31" s="497" customFormat="1" ht="30" customHeight="1">
      <c r="A1452" s="2582" t="s">
        <v>2964</v>
      </c>
      <c r="B1452" s="2582"/>
      <c r="C1452" s="2582"/>
      <c r="D1452" s="2582"/>
      <c r="E1452" s="2582"/>
      <c r="F1452" s="2582"/>
      <c r="G1452" s="2582"/>
      <c r="H1452" s="2582"/>
      <c r="I1452" s="2582"/>
      <c r="J1452" s="2582"/>
      <c r="K1452" s="2582"/>
      <c r="L1452" s="2582"/>
      <c r="M1452" s="2582"/>
      <c r="N1452" s="2582"/>
      <c r="O1452" s="2582"/>
      <c r="P1452" s="2582"/>
      <c r="Q1452" s="2582"/>
      <c r="R1452" s="2582"/>
      <c r="S1452" s="2582"/>
      <c r="T1452" s="2582"/>
      <c r="U1452" s="2582"/>
      <c r="V1452" s="2582"/>
      <c r="W1452" s="2582"/>
      <c r="X1452" s="2582"/>
      <c r="Y1452" s="2582"/>
      <c r="Z1452" s="2582"/>
      <c r="AA1452" s="2582"/>
      <c r="AB1452" s="2582"/>
      <c r="AC1452" s="2582"/>
      <c r="AD1452" s="2582"/>
      <c r="AE1452" s="2582"/>
    </row>
    <row r="1453" spans="1:31" s="497" customFormat="1" ht="30" customHeight="1">
      <c r="A1453" s="2582" t="s">
        <v>2965</v>
      </c>
      <c r="B1453" s="2582"/>
      <c r="C1453" s="2582"/>
      <c r="D1453" s="2582"/>
      <c r="E1453" s="2582"/>
      <c r="F1453" s="2582"/>
      <c r="G1453" s="2582"/>
      <c r="H1453" s="2582"/>
      <c r="I1453" s="2582"/>
      <c r="J1453" s="2582"/>
      <c r="K1453" s="2582"/>
      <c r="L1453" s="2582"/>
      <c r="M1453" s="2582"/>
      <c r="N1453" s="2582"/>
      <c r="O1453" s="2582"/>
      <c r="P1453" s="2582"/>
      <c r="Q1453" s="2582"/>
      <c r="R1453" s="2582"/>
      <c r="S1453" s="2582"/>
      <c r="T1453" s="2582"/>
      <c r="U1453" s="2582"/>
      <c r="V1453" s="2582"/>
      <c r="W1453" s="2582"/>
      <c r="X1453" s="2582"/>
      <c r="Y1453" s="2582"/>
      <c r="Z1453" s="2582"/>
      <c r="AA1453" s="2582"/>
      <c r="AB1453" s="2582"/>
      <c r="AC1453" s="2582"/>
      <c r="AD1453" s="2582"/>
      <c r="AE1453" s="2582"/>
    </row>
    <row r="1454" spans="1:31" s="497" customFormat="1" ht="30" customHeight="1">
      <c r="A1454" s="2582" t="s">
        <v>2966</v>
      </c>
      <c r="B1454" s="2582"/>
      <c r="C1454" s="2582"/>
      <c r="D1454" s="2582"/>
      <c r="E1454" s="2582"/>
      <c r="F1454" s="2582"/>
      <c r="G1454" s="2582"/>
      <c r="H1454" s="2582"/>
      <c r="I1454" s="2582"/>
      <c r="J1454" s="2582"/>
      <c r="K1454" s="2582"/>
      <c r="L1454" s="2582"/>
      <c r="M1454" s="2582"/>
      <c r="N1454" s="2582"/>
      <c r="O1454" s="2582"/>
      <c r="P1454" s="2582"/>
      <c r="Q1454" s="2582"/>
      <c r="R1454" s="2582"/>
      <c r="S1454" s="2582"/>
      <c r="T1454" s="2582"/>
      <c r="U1454" s="2582"/>
      <c r="V1454" s="2582"/>
      <c r="W1454" s="2582"/>
      <c r="X1454" s="2582"/>
      <c r="Y1454" s="2582"/>
      <c r="Z1454" s="2582"/>
      <c r="AA1454" s="2582"/>
      <c r="AB1454" s="2582"/>
      <c r="AC1454" s="2582"/>
      <c r="AD1454" s="2582"/>
      <c r="AE1454" s="2582"/>
    </row>
    <row r="1455" spans="1:31" s="497" customFormat="1" ht="30" customHeight="1">
      <c r="A1455" s="2582" t="s">
        <v>2967</v>
      </c>
      <c r="B1455" s="2582"/>
      <c r="C1455" s="2582"/>
      <c r="D1455" s="2582"/>
      <c r="E1455" s="2582"/>
      <c r="F1455" s="2582"/>
      <c r="G1455" s="2582"/>
      <c r="H1455" s="2582"/>
      <c r="I1455" s="2582"/>
      <c r="J1455" s="2582"/>
      <c r="K1455" s="2582"/>
      <c r="L1455" s="2582"/>
      <c r="M1455" s="2582"/>
      <c r="N1455" s="2582"/>
      <c r="O1455" s="2582"/>
      <c r="P1455" s="2582"/>
      <c r="Q1455" s="2582"/>
      <c r="R1455" s="2582"/>
      <c r="S1455" s="2582"/>
      <c r="T1455" s="2582"/>
      <c r="U1455" s="2582"/>
      <c r="V1455" s="2582"/>
      <c r="W1455" s="2582"/>
      <c r="X1455" s="2582"/>
      <c r="Y1455" s="2582"/>
      <c r="Z1455" s="2582"/>
      <c r="AA1455" s="2582"/>
      <c r="AB1455" s="2582"/>
      <c r="AC1455" s="2582"/>
      <c r="AD1455" s="2582"/>
      <c r="AE1455" s="2582"/>
    </row>
    <row r="1456" spans="1:31" ht="22.5" customHeight="1">
      <c r="A1456" s="2188"/>
      <c r="B1456" s="2189"/>
      <c r="C1456" s="2189"/>
      <c r="D1456" s="2189"/>
      <c r="E1456" s="2189"/>
      <c r="F1456" s="2189"/>
      <c r="G1456" s="2189"/>
      <c r="H1456" s="2189"/>
      <c r="I1456" s="2189"/>
      <c r="J1456" s="2189"/>
      <c r="K1456" s="2189"/>
      <c r="L1456" s="2189"/>
      <c r="M1456" s="2189"/>
      <c r="N1456" s="2189"/>
      <c r="O1456" s="2189"/>
      <c r="P1456" s="2189"/>
      <c r="Q1456" s="2189"/>
      <c r="R1456" s="2189"/>
      <c r="S1456" s="2189"/>
      <c r="T1456" s="2189"/>
      <c r="U1456" s="2189"/>
      <c r="V1456" s="2189"/>
      <c r="W1456" s="2189"/>
      <c r="X1456" s="2189"/>
      <c r="Y1456" s="2189"/>
      <c r="Z1456" s="2189"/>
      <c r="AA1456" s="2189"/>
      <c r="AB1456" s="2189"/>
      <c r="AC1456" s="2189"/>
      <c r="AD1456" s="2189"/>
      <c r="AE1456" s="2190"/>
    </row>
    <row r="1457" spans="1:31" ht="19.5" customHeight="1">
      <c r="A1457" s="2583" t="s">
        <v>911</v>
      </c>
      <c r="B1457" s="2584"/>
      <c r="C1457" s="2584"/>
      <c r="D1457" s="2584"/>
      <c r="E1457" s="2584"/>
      <c r="F1457" s="2584"/>
      <c r="G1457" s="2584"/>
      <c r="H1457" s="2584"/>
      <c r="I1457" s="2584"/>
      <c r="J1457" s="2584"/>
      <c r="K1457" s="2584"/>
      <c r="L1457" s="2584"/>
      <c r="M1457" s="2584"/>
      <c r="N1457" s="2584"/>
      <c r="O1457" s="2584"/>
      <c r="P1457" s="2584"/>
      <c r="Q1457" s="2584"/>
      <c r="R1457" s="2584"/>
      <c r="S1457" s="2584"/>
      <c r="T1457" s="2584"/>
      <c r="U1457" s="2584"/>
      <c r="V1457" s="2584"/>
      <c r="W1457" s="2584"/>
      <c r="X1457" s="2584"/>
      <c r="Y1457" s="2584"/>
      <c r="Z1457" s="2584"/>
      <c r="AA1457" s="2584"/>
      <c r="AB1457" s="2584"/>
      <c r="AC1457" s="2584"/>
      <c r="AD1457" s="2584"/>
      <c r="AE1457" s="2585"/>
    </row>
    <row r="1458" spans="1:31" s="145" customFormat="1" ht="68.25" customHeight="1">
      <c r="A1458" s="495">
        <v>1</v>
      </c>
      <c r="B1458" s="495"/>
      <c r="C1458" s="495">
        <v>3</v>
      </c>
      <c r="D1458" s="623" t="s">
        <v>107</v>
      </c>
      <c r="E1458" s="623" t="s">
        <v>196</v>
      </c>
      <c r="F1458" s="623" t="s">
        <v>65</v>
      </c>
      <c r="G1458" s="623" t="s">
        <v>66</v>
      </c>
      <c r="H1458" s="495"/>
      <c r="I1458" s="618" t="s">
        <v>221</v>
      </c>
      <c r="J1458" s="344" t="s">
        <v>912</v>
      </c>
      <c r="K1458" s="735">
        <v>100</v>
      </c>
      <c r="L1458" s="747">
        <f>SUM(L1459,L1460,L1461,L1462,L1463,L1464,L1465,L1466,L1467,L1468,L1469)</f>
        <v>3595385.5824200003</v>
      </c>
      <c r="M1458" s="735">
        <f t="shared" ref="M1458:M1485" si="396">N1458/L1458*100</f>
        <v>17.113134065343914</v>
      </c>
      <c r="N1458" s="747">
        <f>SUM(N1459:N1469)</f>
        <v>615283.15488558076</v>
      </c>
      <c r="O1458" s="735">
        <f>P1458/L1458*100</f>
        <v>15.895135525779619</v>
      </c>
      <c r="P1458" s="713">
        <f>SUM(P1459:P1469)</f>
        <v>571491.41099999996</v>
      </c>
      <c r="Q1458" s="735">
        <f t="shared" ref="Q1458:Q1469" si="397">R1458/P1458*100</f>
        <v>28.093231133442181</v>
      </c>
      <c r="R1458" s="748">
        <f>SUM(R1459:R1469)</f>
        <v>160550.40299999999</v>
      </c>
      <c r="S1458" s="735">
        <f>SUM(S1459:S1469)</f>
        <v>0</v>
      </c>
      <c r="T1458" s="748">
        <f t="shared" ref="T1458:AD1458" si="398">SUM(T1459:T1469)</f>
        <v>0</v>
      </c>
      <c r="U1458" s="735">
        <f t="shared" si="398"/>
        <v>0</v>
      </c>
      <c r="V1458" s="748">
        <f t="shared" si="398"/>
        <v>0</v>
      </c>
      <c r="W1458" s="735">
        <f t="shared" si="398"/>
        <v>0</v>
      </c>
      <c r="X1458" s="748">
        <f t="shared" si="398"/>
        <v>0</v>
      </c>
      <c r="Y1458" s="735">
        <f>SUM(Y1459:Y1469)/11</f>
        <v>22.723847676346939</v>
      </c>
      <c r="Z1458" s="748">
        <f t="shared" si="398"/>
        <v>160550.40299999999</v>
      </c>
      <c r="AA1458" s="640">
        <f>SUM(AA1459:AA1469)/11</f>
        <v>43.127798084389816</v>
      </c>
      <c r="AB1458" s="748">
        <f>SUM(AB1459:AB1469)</f>
        <v>775833.55788558081</v>
      </c>
      <c r="AC1458" s="752">
        <f>SUM(AC1459:AC1469)/11</f>
        <v>43.127798084389816</v>
      </c>
      <c r="AD1458" s="748">
        <f t="shared" si="398"/>
        <v>257.92861828230593</v>
      </c>
      <c r="AE1458" s="753" t="s">
        <v>913</v>
      </c>
    </row>
    <row r="1459" spans="1:31" s="63" customFormat="1" ht="38.25">
      <c r="A1459" s="59"/>
      <c r="B1459" s="2586" t="s">
        <v>914</v>
      </c>
      <c r="C1459" s="1898">
        <v>3</v>
      </c>
      <c r="D1459" s="1900" t="s">
        <v>107</v>
      </c>
      <c r="E1459" s="1905" t="s">
        <v>196</v>
      </c>
      <c r="F1459" s="1900" t="s">
        <v>65</v>
      </c>
      <c r="G1459" s="1900" t="s">
        <v>66</v>
      </c>
      <c r="H1459" s="1900" t="s">
        <v>65</v>
      </c>
      <c r="I1459" s="58" t="s">
        <v>873</v>
      </c>
      <c r="J1459" s="732" t="s">
        <v>915</v>
      </c>
      <c r="K1459" s="384">
        <v>100</v>
      </c>
      <c r="L1459" s="733">
        <f>[8]Sheet1!$T$14/1000</f>
        <v>360676.1568</v>
      </c>
      <c r="M1459" s="734">
        <f t="shared" si="396"/>
        <v>15.9185343742689</v>
      </c>
      <c r="N1459" s="749">
        <f>57414358/1000</f>
        <v>57414.358</v>
      </c>
      <c r="O1459" s="59">
        <f t="shared" ref="O1459:O1485" si="399">P1459/L1459*100</f>
        <v>14.639171180167127</v>
      </c>
      <c r="P1459" s="720">
        <f>52800000/1000</f>
        <v>52800</v>
      </c>
      <c r="Q1459" s="735">
        <f t="shared" si="397"/>
        <v>20.711937499999998</v>
      </c>
      <c r="R1459" s="736">
        <v>10935.903</v>
      </c>
      <c r="S1459" s="59"/>
      <c r="T1459" s="59"/>
      <c r="U1459" s="59"/>
      <c r="V1459" s="59"/>
      <c r="W1459" s="59"/>
      <c r="X1459" s="59"/>
      <c r="Y1459" s="59">
        <f>(Z1459/P1459)*100</f>
        <v>20.711937499999998</v>
      </c>
      <c r="Z1459" s="60">
        <f t="shared" ref="Z1459:Z1469" si="400">R1459+T1459+V1459+X1459</f>
        <v>10935.903</v>
      </c>
      <c r="AA1459" s="59">
        <f>M1459+Y1459</f>
        <v>36.630471874268899</v>
      </c>
      <c r="AB1459" s="60">
        <f>N1459+Z1459</f>
        <v>68350.260999999999</v>
      </c>
      <c r="AC1459" s="737">
        <f>(AA1459/K1459)*100</f>
        <v>36.630471874268899</v>
      </c>
      <c r="AD1459" s="62">
        <f>(AB1459/L1459)*100</f>
        <v>18.950590359623128</v>
      </c>
      <c r="AE1459" s="1895" t="str">
        <f t="shared" ref="AE1459:AE1469" si="401">AE1458</f>
        <v>Badan Pendapatan</v>
      </c>
    </row>
    <row r="1460" spans="1:31" s="475" customFormat="1" ht="63.75">
      <c r="A1460" s="384"/>
      <c r="B1460" s="2587"/>
      <c r="C1460" s="1898">
        <v>3</v>
      </c>
      <c r="D1460" s="1900" t="s">
        <v>107</v>
      </c>
      <c r="E1460" s="1905" t="s">
        <v>196</v>
      </c>
      <c r="F1460" s="1900" t="s">
        <v>65</v>
      </c>
      <c r="G1460" s="1900" t="s">
        <v>66</v>
      </c>
      <c r="H1460" s="1900" t="s">
        <v>198</v>
      </c>
      <c r="I1460" s="384" t="s">
        <v>148</v>
      </c>
      <c r="J1460" s="732" t="s">
        <v>975</v>
      </c>
      <c r="K1460" s="384">
        <v>100</v>
      </c>
      <c r="L1460" s="738">
        <f>[8]Sheet1!$T$15/1000</f>
        <v>916665.18779999996</v>
      </c>
      <c r="M1460" s="59">
        <f t="shared" si="396"/>
        <v>6.0966186560057278E-6</v>
      </c>
      <c r="N1460" s="738">
        <f>[9]Sheet1!$C$3/1000</f>
        <v>5.5885580852524736E-2</v>
      </c>
      <c r="O1460" s="59">
        <f t="shared" si="399"/>
        <v>22.958218856885011</v>
      </c>
      <c r="P1460" s="708">
        <f>210450000/1000</f>
        <v>210450</v>
      </c>
      <c r="Q1460" s="735">
        <f t="shared" si="397"/>
        <v>15.680684248039913</v>
      </c>
      <c r="R1460" s="739">
        <f>33000000/1000</f>
        <v>33000</v>
      </c>
      <c r="S1460" s="59"/>
      <c r="T1460" s="384"/>
      <c r="U1460" s="59"/>
      <c r="V1460" s="384"/>
      <c r="W1460" s="59"/>
      <c r="X1460" s="384"/>
      <c r="Y1460" s="59">
        <f t="shared" ref="Y1460:Y1469" si="402">(Z1460/P1460)*100</f>
        <v>15.680684248039913</v>
      </c>
      <c r="Z1460" s="60">
        <f t="shared" si="400"/>
        <v>33000</v>
      </c>
      <c r="AA1460" s="590">
        <f>M1460+Y1460</f>
        <v>15.680690344658569</v>
      </c>
      <c r="AB1460" s="60">
        <f t="shared" ref="AB1460:AB1469" si="403">N1460+Z1460</f>
        <v>33000.055885580856</v>
      </c>
      <c r="AC1460" s="737">
        <f t="shared" ref="AC1460:AD1469" si="404">(AA1460/K1460)*100</f>
        <v>15.680690344658569</v>
      </c>
      <c r="AD1460" s="740">
        <f t="shared" si="404"/>
        <v>3.6000119045407537</v>
      </c>
      <c r="AE1460" s="390" t="str">
        <f t="shared" si="401"/>
        <v>Badan Pendapatan</v>
      </c>
    </row>
    <row r="1461" spans="1:31" s="63" customFormat="1" ht="38.25">
      <c r="A1461" s="385"/>
      <c r="B1461" s="2587"/>
      <c r="C1461" s="1898">
        <v>3</v>
      </c>
      <c r="D1461" s="1900" t="s">
        <v>107</v>
      </c>
      <c r="E1461" s="1905" t="s">
        <v>196</v>
      </c>
      <c r="F1461" s="1900" t="s">
        <v>65</v>
      </c>
      <c r="G1461" s="1900" t="s">
        <v>66</v>
      </c>
      <c r="H1461" s="1900" t="s">
        <v>93</v>
      </c>
      <c r="I1461" s="384" t="s">
        <v>876</v>
      </c>
      <c r="J1461" s="732" t="s">
        <v>976</v>
      </c>
      <c r="K1461" s="384">
        <v>100</v>
      </c>
      <c r="L1461" s="738">
        <f>[8]Sheet1!$T$16/1000</f>
        <v>69912.848499999993</v>
      </c>
      <c r="M1461" s="59">
        <f t="shared" si="396"/>
        <v>43.059324066877352</v>
      </c>
      <c r="N1461" s="738">
        <v>30104</v>
      </c>
      <c r="O1461" s="59">
        <f t="shared" si="399"/>
        <v>6.8063311710150103</v>
      </c>
      <c r="P1461" s="708">
        <f>4758500/1000</f>
        <v>4758.5</v>
      </c>
      <c r="Q1461" s="735">
        <f t="shared" si="397"/>
        <v>21.015025743406536</v>
      </c>
      <c r="R1461" s="739">
        <v>1000</v>
      </c>
      <c r="S1461" s="59"/>
      <c r="T1461" s="384"/>
      <c r="U1461" s="59"/>
      <c r="V1461" s="384"/>
      <c r="W1461" s="59"/>
      <c r="X1461" s="384"/>
      <c r="Y1461" s="59">
        <f t="shared" si="402"/>
        <v>21.015025743406536</v>
      </c>
      <c r="Z1461" s="60">
        <f t="shared" si="400"/>
        <v>1000</v>
      </c>
      <c r="AA1461" s="590">
        <f t="shared" ref="AA1461:AA1469" si="405">M1461+Y1461</f>
        <v>64.074349810283891</v>
      </c>
      <c r="AB1461" s="60">
        <f t="shared" si="403"/>
        <v>31104</v>
      </c>
      <c r="AC1461" s="737">
        <f t="shared" si="404"/>
        <v>64.074349810283891</v>
      </c>
      <c r="AD1461" s="737">
        <f t="shared" si="404"/>
        <v>44.489676314647667</v>
      </c>
      <c r="AE1461" s="390" t="str">
        <f t="shared" si="401"/>
        <v>Badan Pendapatan</v>
      </c>
    </row>
    <row r="1462" spans="1:31" s="63" customFormat="1" ht="51">
      <c r="A1462" s="385"/>
      <c r="B1462" s="2587"/>
      <c r="C1462" s="1898">
        <v>3</v>
      </c>
      <c r="D1462" s="1900" t="s">
        <v>107</v>
      </c>
      <c r="E1462" s="1905" t="s">
        <v>196</v>
      </c>
      <c r="F1462" s="1900" t="s">
        <v>65</v>
      </c>
      <c r="G1462" s="1900" t="s">
        <v>66</v>
      </c>
      <c r="H1462" s="1898">
        <v>10</v>
      </c>
      <c r="I1462" s="384" t="s">
        <v>150</v>
      </c>
      <c r="J1462" s="732" t="s">
        <v>977</v>
      </c>
      <c r="K1462" s="384">
        <v>100</v>
      </c>
      <c r="L1462" s="738">
        <f>[8]Sheet1!$T$17/1000</f>
        <v>191141.15521999999</v>
      </c>
      <c r="M1462" s="59">
        <f t="shared" si="396"/>
        <v>22.870270899893541</v>
      </c>
      <c r="N1462" s="738">
        <v>43714.5</v>
      </c>
      <c r="O1462" s="59">
        <f t="shared" si="399"/>
        <v>14.851176852691619</v>
      </c>
      <c r="P1462" s="708">
        <f>28386711/1000</f>
        <v>28386.710999999999</v>
      </c>
      <c r="Q1462" s="735">
        <f t="shared" si="397"/>
        <v>20.608234606679162</v>
      </c>
      <c r="R1462" s="739">
        <v>5850</v>
      </c>
      <c r="S1462" s="59"/>
      <c r="T1462" s="384"/>
      <c r="U1462" s="59"/>
      <c r="V1462" s="384"/>
      <c r="W1462" s="59"/>
      <c r="X1462" s="384"/>
      <c r="Y1462" s="59">
        <f t="shared" si="402"/>
        <v>20.608234606679162</v>
      </c>
      <c r="Z1462" s="60">
        <f t="shared" si="400"/>
        <v>5850</v>
      </c>
      <c r="AA1462" s="590">
        <f t="shared" si="405"/>
        <v>43.478505506572702</v>
      </c>
      <c r="AB1462" s="60">
        <f t="shared" si="403"/>
        <v>49564.5</v>
      </c>
      <c r="AC1462" s="737">
        <f t="shared" si="404"/>
        <v>43.478505506572702</v>
      </c>
      <c r="AD1462" s="737">
        <f t="shared" si="404"/>
        <v>25.930836267549061</v>
      </c>
      <c r="AE1462" s="390" t="str">
        <f t="shared" si="401"/>
        <v>Badan Pendapatan</v>
      </c>
    </row>
    <row r="1463" spans="1:31" s="63" customFormat="1" ht="51">
      <c r="A1463" s="385"/>
      <c r="B1463" s="2587"/>
      <c r="C1463" s="1898">
        <v>3</v>
      </c>
      <c r="D1463" s="1900" t="s">
        <v>107</v>
      </c>
      <c r="E1463" s="1905" t="s">
        <v>196</v>
      </c>
      <c r="F1463" s="1900" t="s">
        <v>65</v>
      </c>
      <c r="G1463" s="1900" t="s">
        <v>66</v>
      </c>
      <c r="H1463" s="1898">
        <v>11</v>
      </c>
      <c r="I1463" s="384" t="s">
        <v>972</v>
      </c>
      <c r="J1463" s="732" t="s">
        <v>978</v>
      </c>
      <c r="K1463" s="384">
        <v>100</v>
      </c>
      <c r="L1463" s="738">
        <f>[8]Sheet1!$T$18/1000</f>
        <v>139854.01199999999</v>
      </c>
      <c r="M1463" s="59">
        <f t="shared" si="396"/>
        <v>20.503523345472566</v>
      </c>
      <c r="N1463" s="738">
        <v>28675</v>
      </c>
      <c r="O1463" s="59">
        <f t="shared" si="399"/>
        <v>17.160751884615223</v>
      </c>
      <c r="P1463" s="708">
        <f>24000000/1000</f>
        <v>24000</v>
      </c>
      <c r="Q1463" s="735">
        <f t="shared" si="397"/>
        <v>14.804583333333332</v>
      </c>
      <c r="R1463" s="739">
        <v>3553.1</v>
      </c>
      <c r="S1463" s="59"/>
      <c r="T1463" s="384"/>
      <c r="U1463" s="59"/>
      <c r="V1463" s="384"/>
      <c r="W1463" s="59"/>
      <c r="X1463" s="384"/>
      <c r="Y1463" s="59">
        <f t="shared" si="402"/>
        <v>14.804583333333332</v>
      </c>
      <c r="Z1463" s="60">
        <f t="shared" si="400"/>
        <v>3553.1</v>
      </c>
      <c r="AA1463" s="590">
        <f t="shared" si="405"/>
        <v>35.308106678805899</v>
      </c>
      <c r="AB1463" s="60">
        <f t="shared" si="403"/>
        <v>32228.1</v>
      </c>
      <c r="AC1463" s="737">
        <f t="shared" si="404"/>
        <v>35.308106678805899</v>
      </c>
      <c r="AD1463" s="737">
        <f t="shared" si="404"/>
        <v>23.044101158856993</v>
      </c>
      <c r="AE1463" s="390" t="str">
        <f t="shared" si="401"/>
        <v>Badan Pendapatan</v>
      </c>
    </row>
    <row r="1464" spans="1:31" s="63" customFormat="1" ht="51">
      <c r="A1464" s="385"/>
      <c r="B1464" s="2587"/>
      <c r="C1464" s="1898">
        <v>3</v>
      </c>
      <c r="D1464" s="1900" t="s">
        <v>107</v>
      </c>
      <c r="E1464" s="1905" t="s">
        <v>196</v>
      </c>
      <c r="F1464" s="1900" t="s">
        <v>65</v>
      </c>
      <c r="G1464" s="1900" t="s">
        <v>66</v>
      </c>
      <c r="H1464" s="1898">
        <v>12</v>
      </c>
      <c r="I1464" s="1906" t="s">
        <v>884</v>
      </c>
      <c r="J1464" s="732" t="s">
        <v>979</v>
      </c>
      <c r="K1464" s="384">
        <v>100</v>
      </c>
      <c r="L1464" s="738">
        <f>[8]Sheet1!$T$19/1000</f>
        <v>88070.025640000007</v>
      </c>
      <c r="M1464" s="59">
        <f t="shared" si="396"/>
        <v>15.229358572944774</v>
      </c>
      <c r="N1464" s="738">
        <v>13412.5</v>
      </c>
      <c r="O1464" s="59">
        <f t="shared" si="399"/>
        <v>18.371789814321666</v>
      </c>
      <c r="P1464" s="708">
        <f>16180040/1000</f>
        <v>16180.04</v>
      </c>
      <c r="Q1464" s="735">
        <f t="shared" si="397"/>
        <v>0</v>
      </c>
      <c r="R1464" s="739">
        <v>0</v>
      </c>
      <c r="S1464" s="59"/>
      <c r="T1464" s="384"/>
      <c r="U1464" s="59"/>
      <c r="V1464" s="384"/>
      <c r="W1464" s="59"/>
      <c r="X1464" s="384"/>
      <c r="Y1464" s="59">
        <f t="shared" si="402"/>
        <v>0</v>
      </c>
      <c r="Z1464" s="60">
        <f t="shared" si="400"/>
        <v>0</v>
      </c>
      <c r="AA1464" s="590">
        <f t="shared" si="405"/>
        <v>15.229358572944774</v>
      </c>
      <c r="AB1464" s="60">
        <f t="shared" si="403"/>
        <v>13412.5</v>
      </c>
      <c r="AC1464" s="737">
        <f t="shared" si="404"/>
        <v>15.229358572944774</v>
      </c>
      <c r="AD1464" s="737">
        <f t="shared" si="404"/>
        <v>15.229358572944774</v>
      </c>
      <c r="AE1464" s="390" t="str">
        <f t="shared" si="401"/>
        <v>Badan Pendapatan</v>
      </c>
    </row>
    <row r="1465" spans="1:31" s="63" customFormat="1" ht="51">
      <c r="A1465" s="385"/>
      <c r="B1465" s="2587"/>
      <c r="C1465" s="1898">
        <v>3</v>
      </c>
      <c r="D1465" s="1900" t="s">
        <v>107</v>
      </c>
      <c r="E1465" s="1905" t="s">
        <v>196</v>
      </c>
      <c r="F1465" s="1900" t="s">
        <v>65</v>
      </c>
      <c r="G1465" s="1900" t="s">
        <v>66</v>
      </c>
      <c r="H1465" s="1898">
        <v>15</v>
      </c>
      <c r="I1465" s="1906" t="s">
        <v>886</v>
      </c>
      <c r="J1465" s="732" t="s">
        <v>980</v>
      </c>
      <c r="K1465" s="384">
        <v>100</v>
      </c>
      <c r="L1465" s="738">
        <f>[8]Sheet1!$T$20/1000</f>
        <v>43400</v>
      </c>
      <c r="M1465" s="59">
        <f t="shared" si="396"/>
        <v>11.336405529953918</v>
      </c>
      <c r="N1465" s="738">
        <v>4920</v>
      </c>
      <c r="O1465" s="59">
        <f t="shared" si="399"/>
        <v>11.52073732718894</v>
      </c>
      <c r="P1465" s="708">
        <f>5000000/1000</f>
        <v>5000</v>
      </c>
      <c r="Q1465" s="735">
        <f t="shared" si="397"/>
        <v>9.6</v>
      </c>
      <c r="R1465" s="739">
        <v>480</v>
      </c>
      <c r="S1465" s="59"/>
      <c r="T1465" s="384"/>
      <c r="U1465" s="59"/>
      <c r="V1465" s="384"/>
      <c r="W1465" s="59"/>
      <c r="X1465" s="384"/>
      <c r="Y1465" s="59">
        <f t="shared" si="402"/>
        <v>9.6</v>
      </c>
      <c r="Z1465" s="60">
        <f t="shared" si="400"/>
        <v>480</v>
      </c>
      <c r="AA1465" s="590">
        <f t="shared" si="405"/>
        <v>20.936405529953916</v>
      </c>
      <c r="AB1465" s="60">
        <f t="shared" si="403"/>
        <v>5400</v>
      </c>
      <c r="AC1465" s="737">
        <f t="shared" si="404"/>
        <v>20.936405529953916</v>
      </c>
      <c r="AD1465" s="737">
        <f t="shared" si="404"/>
        <v>12.442396313364055</v>
      </c>
      <c r="AE1465" s="390" t="str">
        <f t="shared" si="401"/>
        <v>Badan Pendapatan</v>
      </c>
    </row>
    <row r="1466" spans="1:31" s="63" customFormat="1" ht="25.5">
      <c r="A1466" s="385"/>
      <c r="B1466" s="2587"/>
      <c r="C1466" s="1898">
        <v>3</v>
      </c>
      <c r="D1466" s="1900" t="s">
        <v>107</v>
      </c>
      <c r="E1466" s="1905" t="s">
        <v>196</v>
      </c>
      <c r="F1466" s="1900" t="s">
        <v>65</v>
      </c>
      <c r="G1466" s="1900" t="s">
        <v>66</v>
      </c>
      <c r="H1466" s="1898">
        <v>17</v>
      </c>
      <c r="I1466" s="1906" t="s">
        <v>223</v>
      </c>
      <c r="J1466" s="732" t="s">
        <v>981</v>
      </c>
      <c r="K1466" s="384">
        <v>100</v>
      </c>
      <c r="L1466" s="738">
        <f>[8]Sheet1!$T$21/1000</f>
        <v>332784.2</v>
      </c>
      <c r="M1466" s="59">
        <f t="shared" si="396"/>
        <v>17.319331867318219</v>
      </c>
      <c r="N1466" s="738">
        <v>57636</v>
      </c>
      <c r="O1466" s="59">
        <f t="shared" si="399"/>
        <v>13.242816215433303</v>
      </c>
      <c r="P1466" s="708">
        <f>44070000/1000</f>
        <v>44070</v>
      </c>
      <c r="Q1466" s="735">
        <f t="shared" si="397"/>
        <v>34.364420240526435</v>
      </c>
      <c r="R1466" s="739">
        <v>15144.4</v>
      </c>
      <c r="S1466" s="59"/>
      <c r="T1466" s="384"/>
      <c r="U1466" s="59"/>
      <c r="V1466" s="384"/>
      <c r="W1466" s="59"/>
      <c r="X1466" s="384"/>
      <c r="Y1466" s="59">
        <f t="shared" si="402"/>
        <v>34.364420240526435</v>
      </c>
      <c r="Z1466" s="60">
        <f t="shared" si="400"/>
        <v>15144.4</v>
      </c>
      <c r="AA1466" s="590">
        <f t="shared" si="405"/>
        <v>51.683752107844654</v>
      </c>
      <c r="AB1466" s="60">
        <f t="shared" si="403"/>
        <v>72780.399999999994</v>
      </c>
      <c r="AC1466" s="737">
        <f t="shared" si="404"/>
        <v>51.683752107844647</v>
      </c>
      <c r="AD1466" s="737">
        <f t="shared" si="404"/>
        <v>21.870148883270296</v>
      </c>
      <c r="AE1466" s="390" t="str">
        <f t="shared" si="401"/>
        <v>Badan Pendapatan</v>
      </c>
    </row>
    <row r="1467" spans="1:31" s="63" customFormat="1" ht="80.25" customHeight="1">
      <c r="A1467" s="385"/>
      <c r="B1467" s="2587"/>
      <c r="C1467" s="1898">
        <v>3</v>
      </c>
      <c r="D1467" s="1900" t="s">
        <v>107</v>
      </c>
      <c r="E1467" s="1905" t="s">
        <v>196</v>
      </c>
      <c r="F1467" s="1900" t="s">
        <v>65</v>
      </c>
      <c r="G1467" s="1900" t="s">
        <v>66</v>
      </c>
      <c r="H1467" s="1898">
        <v>18</v>
      </c>
      <c r="I1467" s="1906" t="s">
        <v>973</v>
      </c>
      <c r="J1467" s="732" t="s">
        <v>982</v>
      </c>
      <c r="K1467" s="384">
        <v>100</v>
      </c>
      <c r="L1467" s="738">
        <f>[8]Sheet1!$T$22/1000</f>
        <v>812554.92500000005</v>
      </c>
      <c r="M1467" s="59">
        <f t="shared" si="396"/>
        <v>27.159030634144514</v>
      </c>
      <c r="N1467" s="738">
        <v>220682.041</v>
      </c>
      <c r="O1467" s="59">
        <f t="shared" si="399"/>
        <v>12.672066445231378</v>
      </c>
      <c r="P1467" s="708">
        <f>102967500/1000</f>
        <v>102967.5</v>
      </c>
      <c r="Q1467" s="735">
        <f t="shared" si="397"/>
        <v>55.174691043290359</v>
      </c>
      <c r="R1467" s="739">
        <v>56812</v>
      </c>
      <c r="S1467" s="59"/>
      <c r="T1467" s="384"/>
      <c r="U1467" s="59"/>
      <c r="V1467" s="384"/>
      <c r="W1467" s="59"/>
      <c r="X1467" s="384"/>
      <c r="Y1467" s="59">
        <f t="shared" si="402"/>
        <v>55.174691043290359</v>
      </c>
      <c r="Z1467" s="60">
        <f t="shared" si="400"/>
        <v>56812</v>
      </c>
      <c r="AA1467" s="590">
        <f t="shared" si="405"/>
        <v>82.33372167743488</v>
      </c>
      <c r="AB1467" s="60">
        <f t="shared" si="403"/>
        <v>277494.04099999997</v>
      </c>
      <c r="AC1467" s="737">
        <f t="shared" si="404"/>
        <v>82.33372167743488</v>
      </c>
      <c r="AD1467" s="737">
        <f t="shared" si="404"/>
        <v>34.150804144101393</v>
      </c>
      <c r="AE1467" s="390" t="str">
        <f t="shared" si="401"/>
        <v>Badan Pendapatan</v>
      </c>
    </row>
    <row r="1468" spans="1:31" s="63" customFormat="1" ht="63.75">
      <c r="A1468" s="385"/>
      <c r="B1468" s="2587"/>
      <c r="C1468" s="1898">
        <v>3</v>
      </c>
      <c r="D1468" s="1900" t="s">
        <v>107</v>
      </c>
      <c r="E1468" s="1905" t="s">
        <v>196</v>
      </c>
      <c r="F1468" s="1900" t="s">
        <v>65</v>
      </c>
      <c r="G1468" s="1900" t="s">
        <v>66</v>
      </c>
      <c r="H1468" s="1898">
        <v>20</v>
      </c>
      <c r="I1468" s="1906" t="s">
        <v>630</v>
      </c>
      <c r="J1468" s="732" t="s">
        <v>983</v>
      </c>
      <c r="K1468" s="384">
        <v>100</v>
      </c>
      <c r="L1468" s="738">
        <f>[8]Sheet1!$T$23/1000</f>
        <v>470861.3</v>
      </c>
      <c r="M1468" s="59">
        <f t="shared" si="396"/>
        <v>23.960665274466177</v>
      </c>
      <c r="N1468" s="738">
        <v>112821.5</v>
      </c>
      <c r="O1468" s="59">
        <f t="shared" si="399"/>
        <v>12.366699068281891</v>
      </c>
      <c r="P1468" s="708">
        <f>58230000/1000</f>
        <v>58230</v>
      </c>
      <c r="Q1468" s="735">
        <f t="shared" si="397"/>
        <v>58.002747724540612</v>
      </c>
      <c r="R1468" s="739">
        <v>33775</v>
      </c>
      <c r="S1468" s="59"/>
      <c r="T1468" s="384"/>
      <c r="U1468" s="59"/>
      <c r="V1468" s="384"/>
      <c r="W1468" s="59"/>
      <c r="X1468" s="384"/>
      <c r="Y1468" s="59">
        <f t="shared" si="402"/>
        <v>58.002747724540612</v>
      </c>
      <c r="Z1468" s="60">
        <f t="shared" si="400"/>
        <v>33775</v>
      </c>
      <c r="AA1468" s="590">
        <f t="shared" si="405"/>
        <v>81.963412999006792</v>
      </c>
      <c r="AB1468" s="60">
        <f t="shared" si="403"/>
        <v>146596.5</v>
      </c>
      <c r="AC1468" s="737">
        <f t="shared" si="404"/>
        <v>81.963412999006792</v>
      </c>
      <c r="AD1468" s="737">
        <f t="shared" si="404"/>
        <v>31.133690536894836</v>
      </c>
      <c r="AE1468" s="390" t="str">
        <f t="shared" si="401"/>
        <v>Badan Pendapatan</v>
      </c>
    </row>
    <row r="1469" spans="1:31" s="63" customFormat="1" ht="89.25">
      <c r="A1469" s="385"/>
      <c r="B1469" s="2588"/>
      <c r="C1469" s="1898">
        <v>3</v>
      </c>
      <c r="D1469" s="1900" t="s">
        <v>107</v>
      </c>
      <c r="E1469" s="1905" t="s">
        <v>196</v>
      </c>
      <c r="F1469" s="1900" t="s">
        <v>65</v>
      </c>
      <c r="G1469" s="1900" t="s">
        <v>66</v>
      </c>
      <c r="H1469" s="1898">
        <v>22</v>
      </c>
      <c r="I1469" s="1906" t="s">
        <v>974</v>
      </c>
      <c r="J1469" s="732" t="s">
        <v>984</v>
      </c>
      <c r="K1469" s="384">
        <v>100</v>
      </c>
      <c r="L1469" s="738">
        <f>[8]Sheet1!$T$24/1000</f>
        <v>169465.77146000002</v>
      </c>
      <c r="M1469" s="59">
        <f t="shared" si="396"/>
        <v>27.087003826513012</v>
      </c>
      <c r="N1469" s="738">
        <v>45903.199999999997</v>
      </c>
      <c r="O1469" s="59">
        <f t="shared" si="399"/>
        <v>14.544919477039034</v>
      </c>
      <c r="P1469" s="708">
        <f>24648660/1000</f>
        <v>24648.66</v>
      </c>
      <c r="Q1469" s="735">
        <f t="shared" si="397"/>
        <v>0</v>
      </c>
      <c r="R1469" s="739">
        <v>0</v>
      </c>
      <c r="S1469" s="59"/>
      <c r="T1469" s="384"/>
      <c r="U1469" s="59"/>
      <c r="V1469" s="384"/>
      <c r="W1469" s="59"/>
      <c r="X1469" s="384"/>
      <c r="Y1469" s="59">
        <f t="shared" si="402"/>
        <v>0</v>
      </c>
      <c r="Z1469" s="60">
        <f t="shared" si="400"/>
        <v>0</v>
      </c>
      <c r="AA1469" s="590">
        <f t="shared" si="405"/>
        <v>27.087003826513012</v>
      </c>
      <c r="AB1469" s="60">
        <f t="shared" si="403"/>
        <v>45903.199999999997</v>
      </c>
      <c r="AC1469" s="737">
        <f t="shared" si="404"/>
        <v>27.087003826513012</v>
      </c>
      <c r="AD1469" s="737">
        <f t="shared" si="404"/>
        <v>27.087003826513012</v>
      </c>
      <c r="AE1469" s="390" t="str">
        <f t="shared" si="401"/>
        <v>Badan Pendapatan</v>
      </c>
    </row>
    <row r="1470" spans="1:31" s="63" customFormat="1" ht="63.75">
      <c r="A1470" s="385">
        <v>2</v>
      </c>
      <c r="B1470" s="1887"/>
      <c r="C1470" s="1898">
        <v>3</v>
      </c>
      <c r="D1470" s="1900" t="s">
        <v>107</v>
      </c>
      <c r="E1470" s="1905" t="s">
        <v>196</v>
      </c>
      <c r="F1470" s="1900" t="s">
        <v>65</v>
      </c>
      <c r="G1470" s="1900" t="s">
        <v>65</v>
      </c>
      <c r="H1470" s="1898"/>
      <c r="I1470" s="383" t="s">
        <v>257</v>
      </c>
      <c r="J1470" s="741" t="s">
        <v>916</v>
      </c>
      <c r="K1470" s="745">
        <v>100</v>
      </c>
      <c r="L1470" s="738">
        <f>SUM(L1471:L1485)</f>
        <v>6306419.6050000004</v>
      </c>
      <c r="M1470" s="742">
        <f t="shared" si="396"/>
        <v>12.914927978377042</v>
      </c>
      <c r="N1470" s="750">
        <f>SUM(N1471:N1485)</f>
        <v>814469.55</v>
      </c>
      <c r="O1470" s="742">
        <f t="shared" si="399"/>
        <v>6.0252096086143636</v>
      </c>
      <c r="P1470" s="713">
        <f>SUM(P1471:P1485)</f>
        <v>379975</v>
      </c>
      <c r="Q1470" s="742">
        <f>R1470/P1470*100</f>
        <v>12.959627607079414</v>
      </c>
      <c r="R1470" s="748">
        <f>SUM(R1471:R1485)</f>
        <v>49243.345000000001</v>
      </c>
      <c r="S1470" s="742"/>
      <c r="T1470" s="385">
        <v>0</v>
      </c>
      <c r="U1470" s="742"/>
      <c r="V1470" s="385">
        <v>0</v>
      </c>
      <c r="W1470" s="742"/>
      <c r="X1470" s="385">
        <v>0</v>
      </c>
      <c r="Y1470" s="742">
        <f>SUM(Y1471:Y1485)/15</f>
        <v>7.3278202313682188</v>
      </c>
      <c r="Z1470" s="387">
        <f>SUM(Z1471:Z1485)</f>
        <v>49243.345000000001</v>
      </c>
      <c r="AA1470" s="742">
        <f>SUM(AA1471:AA1485)/15</f>
        <v>22.263182185007143</v>
      </c>
      <c r="AB1470" s="386">
        <f>SUM(AB1471:AB1485)</f>
        <v>863712.89500000002</v>
      </c>
      <c r="AC1470" s="389">
        <f>SUM(AC1471:AC1485)</f>
        <v>333.94773277510711</v>
      </c>
      <c r="AD1470" s="389">
        <f>SUM(AD1471:AD1485)</f>
        <v>241.37013043890047</v>
      </c>
      <c r="AE1470" s="390" t="s">
        <v>913</v>
      </c>
    </row>
    <row r="1471" spans="1:31" s="63" customFormat="1" ht="56.25" customHeight="1">
      <c r="A1471" s="385"/>
      <c r="B1471" s="385"/>
      <c r="C1471" s="1898"/>
      <c r="D1471" s="1898"/>
      <c r="E1471" s="1904"/>
      <c r="F1471" s="1898"/>
      <c r="G1471" s="1898"/>
      <c r="H1471" s="1898"/>
      <c r="I1471" s="384" t="s">
        <v>917</v>
      </c>
      <c r="J1471" s="741" t="s">
        <v>918</v>
      </c>
      <c r="K1471" s="384">
        <v>100</v>
      </c>
      <c r="L1471" s="738">
        <v>40000</v>
      </c>
      <c r="M1471" s="742">
        <f t="shared" si="396"/>
        <v>0</v>
      </c>
      <c r="N1471" s="738">
        <v>0</v>
      </c>
      <c r="O1471" s="742">
        <f t="shared" si="399"/>
        <v>0</v>
      </c>
      <c r="P1471" s="708">
        <v>0</v>
      </c>
      <c r="Q1471" s="384">
        <v>1</v>
      </c>
      <c r="R1471" s="739">
        <v>0</v>
      </c>
      <c r="S1471" s="384"/>
      <c r="T1471" s="384"/>
      <c r="U1471" s="384"/>
      <c r="V1471" s="384"/>
      <c r="W1471" s="384"/>
      <c r="X1471" s="384"/>
      <c r="Y1471" s="384"/>
      <c r="Z1471" s="60">
        <f t="shared" ref="Z1471:Z1478" si="406">R1471+T1471+V1471+X1471</f>
        <v>0</v>
      </c>
      <c r="AA1471" s="384">
        <f t="shared" ref="AA1471:AB1485" si="407">M1471+Y1471</f>
        <v>0</v>
      </c>
      <c r="AB1471" s="60">
        <f t="shared" si="407"/>
        <v>0</v>
      </c>
      <c r="AC1471" s="389">
        <f t="shared" ref="AC1471:AD1486" si="408">(AA1471/K1471)*100</f>
        <v>0</v>
      </c>
      <c r="AD1471" s="737">
        <f t="shared" si="408"/>
        <v>0</v>
      </c>
      <c r="AE1471" s="390" t="str">
        <f>AE1467</f>
        <v>Badan Pendapatan</v>
      </c>
    </row>
    <row r="1472" spans="1:31" s="63" customFormat="1" ht="38.25">
      <c r="A1472" s="385"/>
      <c r="B1472" s="385"/>
      <c r="C1472" s="1898"/>
      <c r="D1472" s="1898"/>
      <c r="E1472" s="1904"/>
      <c r="F1472" s="1898"/>
      <c r="G1472" s="1898"/>
      <c r="H1472" s="1898"/>
      <c r="I1472" s="384" t="s">
        <v>919</v>
      </c>
      <c r="J1472" s="741" t="s">
        <v>920</v>
      </c>
      <c r="K1472" s="384">
        <v>100</v>
      </c>
      <c r="L1472" s="738">
        <v>50000</v>
      </c>
      <c r="M1472" s="742">
        <f t="shared" si="396"/>
        <v>0</v>
      </c>
      <c r="N1472" s="738">
        <v>0</v>
      </c>
      <c r="O1472" s="742">
        <f t="shared" si="399"/>
        <v>0</v>
      </c>
      <c r="P1472" s="708">
        <v>0</v>
      </c>
      <c r="Q1472" s="384">
        <v>1</v>
      </c>
      <c r="R1472" s="739">
        <v>0</v>
      </c>
      <c r="S1472" s="384"/>
      <c r="T1472" s="384"/>
      <c r="U1472" s="384"/>
      <c r="V1472" s="384"/>
      <c r="W1472" s="384"/>
      <c r="X1472" s="384"/>
      <c r="Y1472" s="384"/>
      <c r="Z1472" s="60">
        <f t="shared" si="406"/>
        <v>0</v>
      </c>
      <c r="AA1472" s="384">
        <f t="shared" si="407"/>
        <v>0</v>
      </c>
      <c r="AB1472" s="60">
        <f t="shared" si="407"/>
        <v>0</v>
      </c>
      <c r="AC1472" s="389">
        <f t="shared" si="408"/>
        <v>0</v>
      </c>
      <c r="AD1472" s="737">
        <f t="shared" si="408"/>
        <v>0</v>
      </c>
      <c r="AE1472" s="390" t="str">
        <f>AE1467</f>
        <v>Badan Pendapatan</v>
      </c>
    </row>
    <row r="1473" spans="1:31" s="63" customFormat="1" ht="51">
      <c r="A1473" s="385"/>
      <c r="B1473" s="385"/>
      <c r="C1473" s="1898"/>
      <c r="D1473" s="1898"/>
      <c r="E1473" s="1904"/>
      <c r="F1473" s="1898"/>
      <c r="G1473" s="1898"/>
      <c r="H1473" s="1898"/>
      <c r="I1473" s="384" t="s">
        <v>921</v>
      </c>
      <c r="J1473" s="384" t="s">
        <v>922</v>
      </c>
      <c r="K1473" s="384">
        <v>100</v>
      </c>
      <c r="L1473" s="738">
        <v>100000</v>
      </c>
      <c r="M1473" s="742">
        <f t="shared" si="396"/>
        <v>0</v>
      </c>
      <c r="N1473" s="738">
        <v>0</v>
      </c>
      <c r="O1473" s="742">
        <f t="shared" si="399"/>
        <v>0</v>
      </c>
      <c r="P1473" s="708">
        <v>0</v>
      </c>
      <c r="Q1473" s="384">
        <v>1</v>
      </c>
      <c r="R1473" s="739">
        <v>0</v>
      </c>
      <c r="S1473" s="384"/>
      <c r="T1473" s="384"/>
      <c r="U1473" s="384"/>
      <c r="V1473" s="384"/>
      <c r="W1473" s="384"/>
      <c r="X1473" s="384"/>
      <c r="Y1473" s="384"/>
      <c r="Z1473" s="60">
        <f t="shared" si="406"/>
        <v>0</v>
      </c>
      <c r="AA1473" s="384">
        <f t="shared" si="407"/>
        <v>0</v>
      </c>
      <c r="AB1473" s="60">
        <f t="shared" si="407"/>
        <v>0</v>
      </c>
      <c r="AC1473" s="389">
        <f t="shared" si="408"/>
        <v>0</v>
      </c>
      <c r="AD1473" s="737">
        <f t="shared" si="408"/>
        <v>0</v>
      </c>
      <c r="AE1473" s="390" t="str">
        <f>AE1468</f>
        <v>Badan Pendapatan</v>
      </c>
    </row>
    <row r="1474" spans="1:31" s="63" customFormat="1" ht="63.75">
      <c r="A1474" s="385"/>
      <c r="B1474" s="385"/>
      <c r="C1474" s="1898"/>
      <c r="D1474" s="1898"/>
      <c r="E1474" s="1904"/>
      <c r="F1474" s="1898"/>
      <c r="G1474" s="1898"/>
      <c r="H1474" s="1898"/>
      <c r="I1474" s="384" t="s">
        <v>923</v>
      </c>
      <c r="J1474" s="384" t="s">
        <v>924</v>
      </c>
      <c r="K1474" s="384">
        <v>100</v>
      </c>
      <c r="L1474" s="738">
        <v>20000</v>
      </c>
      <c r="M1474" s="742">
        <f t="shared" si="396"/>
        <v>0</v>
      </c>
      <c r="N1474" s="738">
        <v>0</v>
      </c>
      <c r="O1474" s="742">
        <f t="shared" si="399"/>
        <v>0</v>
      </c>
      <c r="P1474" s="708">
        <v>0</v>
      </c>
      <c r="Q1474" s="384">
        <v>1</v>
      </c>
      <c r="R1474" s="739">
        <v>0</v>
      </c>
      <c r="S1474" s="384"/>
      <c r="T1474" s="384"/>
      <c r="U1474" s="384"/>
      <c r="V1474" s="384"/>
      <c r="W1474" s="384"/>
      <c r="X1474" s="384"/>
      <c r="Y1474" s="384"/>
      <c r="Z1474" s="60">
        <f t="shared" si="406"/>
        <v>0</v>
      </c>
      <c r="AA1474" s="384">
        <f t="shared" si="407"/>
        <v>0</v>
      </c>
      <c r="AB1474" s="60">
        <f t="shared" si="407"/>
        <v>0</v>
      </c>
      <c r="AC1474" s="389">
        <f t="shared" si="408"/>
        <v>0</v>
      </c>
      <c r="AD1474" s="737">
        <f t="shared" si="408"/>
        <v>0</v>
      </c>
      <c r="AE1474" s="390" t="str">
        <f>AE1469</f>
        <v>Badan Pendapatan</v>
      </c>
    </row>
    <row r="1475" spans="1:31" s="63" customFormat="1" ht="38.25">
      <c r="A1475" s="385"/>
      <c r="B1475" s="385"/>
      <c r="C1475" s="1898"/>
      <c r="D1475" s="1898"/>
      <c r="E1475" s="1904"/>
      <c r="F1475" s="1898"/>
      <c r="G1475" s="1898"/>
      <c r="H1475" s="1898"/>
      <c r="I1475" s="384" t="s">
        <v>925</v>
      </c>
      <c r="J1475" s="741" t="s">
        <v>926</v>
      </c>
      <c r="K1475" s="384">
        <v>100</v>
      </c>
      <c r="L1475" s="738">
        <v>250000</v>
      </c>
      <c r="M1475" s="742">
        <f t="shared" si="396"/>
        <v>0</v>
      </c>
      <c r="N1475" s="738">
        <v>0</v>
      </c>
      <c r="O1475" s="742">
        <f t="shared" si="399"/>
        <v>0</v>
      </c>
      <c r="P1475" s="708">
        <v>0</v>
      </c>
      <c r="Q1475" s="384">
        <v>1</v>
      </c>
      <c r="R1475" s="739">
        <v>0</v>
      </c>
      <c r="S1475" s="384"/>
      <c r="T1475" s="384"/>
      <c r="U1475" s="384"/>
      <c r="V1475" s="384"/>
      <c r="W1475" s="384"/>
      <c r="X1475" s="384"/>
      <c r="Y1475" s="384"/>
      <c r="Z1475" s="60">
        <f t="shared" si="406"/>
        <v>0</v>
      </c>
      <c r="AA1475" s="384">
        <f t="shared" si="407"/>
        <v>0</v>
      </c>
      <c r="AB1475" s="60">
        <f t="shared" si="407"/>
        <v>0</v>
      </c>
      <c r="AC1475" s="389">
        <f t="shared" si="408"/>
        <v>0</v>
      </c>
      <c r="AD1475" s="737">
        <f t="shared" si="408"/>
        <v>0</v>
      </c>
      <c r="AE1475" s="390" t="e">
        <f>#REF!</f>
        <v>#REF!</v>
      </c>
    </row>
    <row r="1476" spans="1:31" s="63" customFormat="1" ht="51">
      <c r="A1476" s="385"/>
      <c r="B1476" s="385"/>
      <c r="C1476" s="1898"/>
      <c r="D1476" s="1898"/>
      <c r="E1476" s="1904"/>
      <c r="F1476" s="1898"/>
      <c r="G1476" s="1898"/>
      <c r="H1476" s="1898"/>
      <c r="I1476" s="384" t="s">
        <v>927</v>
      </c>
      <c r="J1476" s="384" t="s">
        <v>928</v>
      </c>
      <c r="K1476" s="384">
        <v>100</v>
      </c>
      <c r="L1476" s="738">
        <v>50000</v>
      </c>
      <c r="M1476" s="742">
        <f t="shared" si="396"/>
        <v>0</v>
      </c>
      <c r="N1476" s="738">
        <v>0</v>
      </c>
      <c r="O1476" s="742">
        <f t="shared" si="399"/>
        <v>0</v>
      </c>
      <c r="P1476" s="708">
        <v>0</v>
      </c>
      <c r="Q1476" s="384">
        <v>1</v>
      </c>
      <c r="R1476" s="739">
        <v>0</v>
      </c>
      <c r="S1476" s="384"/>
      <c r="T1476" s="384"/>
      <c r="U1476" s="384"/>
      <c r="V1476" s="384"/>
      <c r="W1476" s="384"/>
      <c r="X1476" s="384"/>
      <c r="Y1476" s="384"/>
      <c r="Z1476" s="60">
        <f t="shared" si="406"/>
        <v>0</v>
      </c>
      <c r="AA1476" s="384">
        <f t="shared" si="407"/>
        <v>0</v>
      </c>
      <c r="AB1476" s="60">
        <f t="shared" si="407"/>
        <v>0</v>
      </c>
      <c r="AC1476" s="389">
        <f t="shared" si="408"/>
        <v>0</v>
      </c>
      <c r="AD1476" s="737">
        <f t="shared" si="408"/>
        <v>0</v>
      </c>
      <c r="AE1476" s="390" t="e">
        <f>AE1475</f>
        <v>#REF!</v>
      </c>
    </row>
    <row r="1477" spans="1:31" s="63" customFormat="1" ht="25.5">
      <c r="A1477" s="385"/>
      <c r="B1477" s="385"/>
      <c r="C1477" s="1898"/>
      <c r="D1477" s="1898"/>
      <c r="E1477" s="1904"/>
      <c r="F1477" s="1898"/>
      <c r="G1477" s="1898"/>
      <c r="H1477" s="1898"/>
      <c r="I1477" s="384" t="s">
        <v>929</v>
      </c>
      <c r="J1477" s="741" t="s">
        <v>930</v>
      </c>
      <c r="K1477" s="384">
        <v>100</v>
      </c>
      <c r="L1477" s="738">
        <v>30000</v>
      </c>
      <c r="M1477" s="742">
        <f t="shared" si="396"/>
        <v>0</v>
      </c>
      <c r="N1477" s="738">
        <v>0</v>
      </c>
      <c r="O1477" s="742">
        <f t="shared" si="399"/>
        <v>0</v>
      </c>
      <c r="P1477" s="708">
        <v>0</v>
      </c>
      <c r="Q1477" s="384">
        <v>1</v>
      </c>
      <c r="R1477" s="739">
        <v>0</v>
      </c>
      <c r="S1477" s="384"/>
      <c r="T1477" s="384"/>
      <c r="U1477" s="384"/>
      <c r="V1477" s="384"/>
      <c r="W1477" s="384"/>
      <c r="X1477" s="384"/>
      <c r="Y1477" s="384"/>
      <c r="Z1477" s="60">
        <f t="shared" si="406"/>
        <v>0</v>
      </c>
      <c r="AA1477" s="384">
        <f t="shared" si="407"/>
        <v>0</v>
      </c>
      <c r="AB1477" s="60">
        <f t="shared" si="407"/>
        <v>0</v>
      </c>
      <c r="AC1477" s="389">
        <f t="shared" si="408"/>
        <v>0</v>
      </c>
      <c r="AD1477" s="737">
        <f t="shared" si="408"/>
        <v>0</v>
      </c>
      <c r="AE1477" s="390" t="e">
        <f>AE1476</f>
        <v>#REF!</v>
      </c>
    </row>
    <row r="1478" spans="1:31" s="63" customFormat="1" ht="25.5">
      <c r="A1478" s="385"/>
      <c r="B1478" s="385"/>
      <c r="C1478" s="1898"/>
      <c r="D1478" s="1898"/>
      <c r="E1478" s="1904"/>
      <c r="F1478" s="1898"/>
      <c r="G1478" s="1898"/>
      <c r="H1478" s="1898"/>
      <c r="I1478" s="384" t="s">
        <v>931</v>
      </c>
      <c r="J1478" s="384" t="s">
        <v>932</v>
      </c>
      <c r="K1478" s="384">
        <v>100</v>
      </c>
      <c r="L1478" s="738">
        <v>3000000</v>
      </c>
      <c r="M1478" s="742">
        <f t="shared" si="396"/>
        <v>0</v>
      </c>
      <c r="N1478" s="738">
        <v>0</v>
      </c>
      <c r="O1478" s="742">
        <f t="shared" si="399"/>
        <v>0</v>
      </c>
      <c r="P1478" s="708">
        <v>0</v>
      </c>
      <c r="Q1478" s="384">
        <v>1</v>
      </c>
      <c r="R1478" s="739">
        <v>0</v>
      </c>
      <c r="S1478" s="384"/>
      <c r="T1478" s="384"/>
      <c r="U1478" s="384"/>
      <c r="V1478" s="384"/>
      <c r="W1478" s="384"/>
      <c r="X1478" s="384"/>
      <c r="Y1478" s="384"/>
      <c r="Z1478" s="60">
        <f t="shared" si="406"/>
        <v>0</v>
      </c>
      <c r="AA1478" s="384">
        <f t="shared" si="407"/>
        <v>0</v>
      </c>
      <c r="AB1478" s="60">
        <f t="shared" si="407"/>
        <v>0</v>
      </c>
      <c r="AC1478" s="389">
        <f t="shared" si="408"/>
        <v>0</v>
      </c>
      <c r="AD1478" s="737">
        <f t="shared" si="408"/>
        <v>0</v>
      </c>
      <c r="AE1478" s="390" t="e">
        <f>AE1477</f>
        <v>#REF!</v>
      </c>
    </row>
    <row r="1479" spans="1:31" s="63" customFormat="1" ht="25.5">
      <c r="A1479" s="385"/>
      <c r="C1479" s="1898"/>
      <c r="D1479" s="1898"/>
      <c r="E1479" s="1904"/>
      <c r="F1479" s="1898"/>
      <c r="G1479" s="1898"/>
      <c r="H1479" s="1898"/>
      <c r="I1479" s="384" t="s">
        <v>933</v>
      </c>
      <c r="J1479" s="384" t="s">
        <v>934</v>
      </c>
      <c r="K1479" s="384">
        <v>100</v>
      </c>
      <c r="L1479" s="738">
        <v>200000</v>
      </c>
      <c r="M1479" s="742">
        <f t="shared" si="396"/>
        <v>0</v>
      </c>
      <c r="N1479" s="738">
        <v>0</v>
      </c>
      <c r="O1479" s="742">
        <f t="shared" si="399"/>
        <v>0</v>
      </c>
      <c r="P1479" s="708">
        <v>0</v>
      </c>
      <c r="Q1479" s="384"/>
      <c r="R1479" s="739">
        <v>0</v>
      </c>
      <c r="S1479" s="384"/>
      <c r="T1479" s="384"/>
      <c r="U1479" s="384"/>
      <c r="V1479" s="384"/>
      <c r="W1479" s="384"/>
      <c r="X1479" s="384"/>
      <c r="Y1479" s="384"/>
      <c r="Z1479" s="60"/>
      <c r="AA1479" s="384">
        <f t="shared" si="407"/>
        <v>0</v>
      </c>
      <c r="AB1479" s="60">
        <f t="shared" si="407"/>
        <v>0</v>
      </c>
      <c r="AC1479" s="389">
        <f t="shared" si="408"/>
        <v>0</v>
      </c>
      <c r="AD1479" s="737">
        <f t="shared" si="408"/>
        <v>0</v>
      </c>
      <c r="AE1479" s="390" t="e">
        <f t="shared" ref="AE1479:AE1484" si="409">AE1478</f>
        <v>#REF!</v>
      </c>
    </row>
    <row r="1480" spans="1:31" s="63" customFormat="1" ht="51.75" customHeight="1">
      <c r="A1480" s="385"/>
      <c r="B1480" s="385"/>
      <c r="C1480" s="1898">
        <v>3</v>
      </c>
      <c r="D1480" s="1900" t="s">
        <v>107</v>
      </c>
      <c r="E1480" s="1905" t="s">
        <v>196</v>
      </c>
      <c r="F1480" s="1900" t="s">
        <v>65</v>
      </c>
      <c r="G1480" s="1900" t="s">
        <v>65</v>
      </c>
      <c r="H1480" s="1900" t="s">
        <v>198</v>
      </c>
      <c r="I1480" s="384" t="s">
        <v>935</v>
      </c>
      <c r="J1480" s="384" t="s">
        <v>936</v>
      </c>
      <c r="K1480" s="384">
        <v>100</v>
      </c>
      <c r="L1480" s="738">
        <f>[8]Sheet1!$T$35/1000</f>
        <v>66492.100000000006</v>
      </c>
      <c r="M1480" s="742">
        <f t="shared" si="396"/>
        <v>90.994644476561874</v>
      </c>
      <c r="N1480" s="738">
        <f>60504250/1000</f>
        <v>60504.25</v>
      </c>
      <c r="O1480" s="742">
        <f t="shared" si="399"/>
        <v>0</v>
      </c>
      <c r="P1480" s="708"/>
      <c r="Q1480" s="384"/>
      <c r="R1480" s="739">
        <v>0</v>
      </c>
      <c r="S1480" s="384"/>
      <c r="T1480" s="384"/>
      <c r="U1480" s="384"/>
      <c r="V1480" s="384"/>
      <c r="W1480" s="384"/>
      <c r="X1480" s="384"/>
      <c r="Y1480" s="384"/>
      <c r="Z1480" s="60"/>
      <c r="AA1480" s="384">
        <f t="shared" si="407"/>
        <v>90.994644476561874</v>
      </c>
      <c r="AB1480" s="60">
        <f t="shared" si="407"/>
        <v>60504.25</v>
      </c>
      <c r="AC1480" s="389">
        <f t="shared" si="408"/>
        <v>90.994644476561874</v>
      </c>
      <c r="AD1480" s="737">
        <f t="shared" si="408"/>
        <v>90.994644476561874</v>
      </c>
      <c r="AE1480" s="390" t="e">
        <f t="shared" si="409"/>
        <v>#REF!</v>
      </c>
    </row>
    <row r="1481" spans="1:31" s="63" customFormat="1" ht="38.25">
      <c r="A1481" s="385"/>
      <c r="B1481" s="385"/>
      <c r="C1481" s="1898">
        <v>3</v>
      </c>
      <c r="D1481" s="1900" t="s">
        <v>107</v>
      </c>
      <c r="E1481" s="1905" t="s">
        <v>196</v>
      </c>
      <c r="F1481" s="1900" t="s">
        <v>65</v>
      </c>
      <c r="G1481" s="1900" t="s">
        <v>65</v>
      </c>
      <c r="H1481" s="1900" t="s">
        <v>201</v>
      </c>
      <c r="I1481" s="384" t="s">
        <v>454</v>
      </c>
      <c r="J1481" s="384" t="s">
        <v>937</v>
      </c>
      <c r="K1481" s="384">
        <v>100</v>
      </c>
      <c r="L1481" s="738">
        <f>[8]Sheet1!$T$36/1000</f>
        <v>1273397.2549999999</v>
      </c>
      <c r="M1481" s="742">
        <f t="shared" si="396"/>
        <v>29.093984500539861</v>
      </c>
      <c r="N1481" s="738">
        <f>370482000/1000</f>
        <v>370482</v>
      </c>
      <c r="O1481" s="742">
        <f t="shared" si="399"/>
        <v>15.706017836515599</v>
      </c>
      <c r="P1481" s="708">
        <f>200000000/1000</f>
        <v>200000</v>
      </c>
      <c r="Q1481" s="384">
        <f>R1481/P1481*100</f>
        <v>0.6</v>
      </c>
      <c r="R1481" s="739">
        <f>1200000/1000</f>
        <v>1200</v>
      </c>
      <c r="S1481" s="384"/>
      <c r="T1481" s="384"/>
      <c r="U1481" s="384"/>
      <c r="V1481" s="384"/>
      <c r="W1481" s="384"/>
      <c r="X1481" s="384"/>
      <c r="Y1481" s="384">
        <f>Z1481/P1481*100</f>
        <v>0.6</v>
      </c>
      <c r="Z1481" s="60">
        <f>SUM(R1481,T1481,V1481,X1481)</f>
        <v>1200</v>
      </c>
      <c r="AA1481" s="384">
        <f t="shared" si="407"/>
        <v>29.693984500539862</v>
      </c>
      <c r="AB1481" s="60">
        <f t="shared" si="407"/>
        <v>371682</v>
      </c>
      <c r="AC1481" s="389">
        <f t="shared" si="408"/>
        <v>29.693984500539862</v>
      </c>
      <c r="AD1481" s="737">
        <f t="shared" si="408"/>
        <v>29.18822060755895</v>
      </c>
      <c r="AE1481" s="390" t="e">
        <f t="shared" si="409"/>
        <v>#REF!</v>
      </c>
    </row>
    <row r="1482" spans="1:31" s="63" customFormat="1" ht="25.5">
      <c r="A1482" s="385"/>
      <c r="C1482" s="1898">
        <v>3</v>
      </c>
      <c r="D1482" s="1900" t="s">
        <v>107</v>
      </c>
      <c r="E1482" s="1905" t="s">
        <v>196</v>
      </c>
      <c r="F1482" s="1900" t="s">
        <v>65</v>
      </c>
      <c r="G1482" s="1900" t="s">
        <v>65</v>
      </c>
      <c r="H1482" s="1898">
        <v>10</v>
      </c>
      <c r="I1482" s="743" t="s">
        <v>938</v>
      </c>
      <c r="J1482" s="743" t="s">
        <v>939</v>
      </c>
      <c r="K1482" s="384">
        <v>100</v>
      </c>
      <c r="L1482" s="738">
        <f>[8]Sheet1!$T$38/1000</f>
        <v>243767</v>
      </c>
      <c r="M1482" s="742">
        <f t="shared" si="396"/>
        <v>31.907518244881384</v>
      </c>
      <c r="N1482" s="738">
        <f>77780000/1000</f>
        <v>77780</v>
      </c>
      <c r="O1482" s="742">
        <f t="shared" si="399"/>
        <v>0</v>
      </c>
      <c r="P1482" s="708">
        <v>0</v>
      </c>
      <c r="Q1482" s="384"/>
      <c r="R1482" s="739">
        <v>0</v>
      </c>
      <c r="S1482" s="384"/>
      <c r="T1482" s="384"/>
      <c r="U1482" s="384"/>
      <c r="V1482" s="384"/>
      <c r="W1482" s="384"/>
      <c r="X1482" s="384"/>
      <c r="Y1482" s="384"/>
      <c r="Z1482" s="60">
        <f>SUM(R1482,T1482,V1482,X1482)</f>
        <v>0</v>
      </c>
      <c r="AA1482" s="384">
        <f t="shared" si="407"/>
        <v>31.907518244881384</v>
      </c>
      <c r="AB1482" s="60">
        <f t="shared" si="407"/>
        <v>77780</v>
      </c>
      <c r="AC1482" s="389">
        <f t="shared" si="408"/>
        <v>31.907518244881384</v>
      </c>
      <c r="AD1482" s="737">
        <f t="shared" si="408"/>
        <v>31.907518244881384</v>
      </c>
      <c r="AE1482" s="390" t="e">
        <f t="shared" si="409"/>
        <v>#REF!</v>
      </c>
    </row>
    <row r="1483" spans="1:31" s="63" customFormat="1" ht="51">
      <c r="A1483" s="385"/>
      <c r="B1483" s="385"/>
      <c r="C1483" s="1898">
        <v>3</v>
      </c>
      <c r="D1483" s="1900" t="s">
        <v>107</v>
      </c>
      <c r="E1483" s="1905" t="s">
        <v>196</v>
      </c>
      <c r="F1483" s="1900" t="s">
        <v>65</v>
      </c>
      <c r="G1483" s="1900" t="s">
        <v>65</v>
      </c>
      <c r="H1483" s="1898">
        <v>22</v>
      </c>
      <c r="I1483" s="384" t="s">
        <v>258</v>
      </c>
      <c r="J1483" s="384" t="s">
        <v>940</v>
      </c>
      <c r="K1483" s="384">
        <v>100</v>
      </c>
      <c r="L1483" s="738">
        <f>[8]Sheet1!$T$39/1000</f>
        <v>372275</v>
      </c>
      <c r="M1483" s="742">
        <f t="shared" si="396"/>
        <v>51.545765898865085</v>
      </c>
      <c r="N1483" s="738">
        <v>191892</v>
      </c>
      <c r="O1483" s="742">
        <f t="shared" si="399"/>
        <v>5.3723725740380095</v>
      </c>
      <c r="P1483" s="708">
        <f>20000000/1000</f>
        <v>20000</v>
      </c>
      <c r="Q1483" s="384">
        <f>R1483/P1483*100</f>
        <v>73.75</v>
      </c>
      <c r="R1483" s="739">
        <f>14750000/1000</f>
        <v>14750</v>
      </c>
      <c r="S1483" s="384"/>
      <c r="T1483" s="384"/>
      <c r="U1483" s="384"/>
      <c r="V1483" s="384"/>
      <c r="W1483" s="384"/>
      <c r="X1483" s="384"/>
      <c r="Y1483" s="384">
        <f>Z1483/P1483*100</f>
        <v>73.75</v>
      </c>
      <c r="Z1483" s="60">
        <f>SUM(R1483,T1483,V1483,X1483)</f>
        <v>14750</v>
      </c>
      <c r="AA1483" s="384">
        <f t="shared" si="407"/>
        <v>125.29576589886508</v>
      </c>
      <c r="AB1483" s="60">
        <f t="shared" si="407"/>
        <v>206642</v>
      </c>
      <c r="AC1483" s="389">
        <f t="shared" si="408"/>
        <v>125.29576589886508</v>
      </c>
      <c r="AD1483" s="737">
        <f t="shared" si="408"/>
        <v>55.507890672218117</v>
      </c>
      <c r="AE1483" s="390" t="e">
        <f t="shared" si="409"/>
        <v>#REF!</v>
      </c>
    </row>
    <row r="1484" spans="1:31" s="63" customFormat="1" ht="51">
      <c r="A1484" s="385"/>
      <c r="B1484" s="385"/>
      <c r="C1484" s="1898">
        <v>3</v>
      </c>
      <c r="D1484" s="1900" t="s">
        <v>107</v>
      </c>
      <c r="E1484" s="1905" t="s">
        <v>196</v>
      </c>
      <c r="F1484" s="1900" t="s">
        <v>65</v>
      </c>
      <c r="G1484" s="1900" t="s">
        <v>65</v>
      </c>
      <c r="H1484" s="1898">
        <v>24</v>
      </c>
      <c r="I1484" s="384" t="s">
        <v>941</v>
      </c>
      <c r="J1484" s="384" t="s">
        <v>942</v>
      </c>
      <c r="K1484" s="384">
        <v>100</v>
      </c>
      <c r="L1484" s="738">
        <f>[8]Sheet1!$T$40/1000</f>
        <v>555488.25</v>
      </c>
      <c r="M1484" s="742">
        <f t="shared" si="396"/>
        <v>20.488516183735662</v>
      </c>
      <c r="N1484" s="738">
        <v>113811.3</v>
      </c>
      <c r="O1484" s="742">
        <f t="shared" si="399"/>
        <v>18.897789467193952</v>
      </c>
      <c r="P1484" s="708">
        <f>104975000/1000</f>
        <v>104975</v>
      </c>
      <c r="Q1484" s="384">
        <f>R1484/P1484*100</f>
        <v>27.476394379614195</v>
      </c>
      <c r="R1484" s="739">
        <f>28843345/1000</f>
        <v>28843.345000000001</v>
      </c>
      <c r="S1484" s="384"/>
      <c r="T1484" s="384"/>
      <c r="U1484" s="384"/>
      <c r="V1484" s="384"/>
      <c r="W1484" s="384"/>
      <c r="X1484" s="384"/>
      <c r="Y1484" s="384">
        <f>Z1484/P1484*100</f>
        <v>27.476394379614195</v>
      </c>
      <c r="Z1484" s="60">
        <f>SUM(R1484,T1484,V1484,X1484)</f>
        <v>28843.345000000001</v>
      </c>
      <c r="AA1484" s="384">
        <f t="shared" si="407"/>
        <v>47.964910563349861</v>
      </c>
      <c r="AB1484" s="60">
        <f t="shared" si="407"/>
        <v>142654.64500000002</v>
      </c>
      <c r="AC1484" s="389">
        <f t="shared" si="408"/>
        <v>47.964910563349861</v>
      </c>
      <c r="AD1484" s="737">
        <f t="shared" si="408"/>
        <v>25.680947346771067</v>
      </c>
      <c r="AE1484" s="390" t="e">
        <f t="shared" si="409"/>
        <v>#REF!</v>
      </c>
    </row>
    <row r="1485" spans="1:31" s="63" customFormat="1" ht="25.5">
      <c r="A1485" s="385"/>
      <c r="B1485" s="385"/>
      <c r="C1485" s="1904">
        <v>3</v>
      </c>
      <c r="D1485" s="1905" t="s">
        <v>107</v>
      </c>
      <c r="E1485" s="1905" t="s">
        <v>196</v>
      </c>
      <c r="F1485" s="1905" t="s">
        <v>65</v>
      </c>
      <c r="G1485" s="1905" t="s">
        <v>65</v>
      </c>
      <c r="H1485" s="1904">
        <v>130</v>
      </c>
      <c r="I1485" s="384" t="s">
        <v>943</v>
      </c>
      <c r="J1485" s="384" t="s">
        <v>944</v>
      </c>
      <c r="K1485" s="384">
        <v>100</v>
      </c>
      <c r="L1485" s="738">
        <f>55000000/1000</f>
        <v>55000</v>
      </c>
      <c r="M1485" s="742">
        <f t="shared" si="396"/>
        <v>0</v>
      </c>
      <c r="N1485" s="738">
        <v>0</v>
      </c>
      <c r="O1485" s="742">
        <f t="shared" si="399"/>
        <v>100</v>
      </c>
      <c r="P1485" s="708">
        <f>55000000/1000</f>
        <v>55000</v>
      </c>
      <c r="Q1485" s="384">
        <f>R1485/P1485*100</f>
        <v>8.0909090909090899</v>
      </c>
      <c r="R1485" s="739">
        <f>4450000/1000</f>
        <v>4450</v>
      </c>
      <c r="S1485" s="384"/>
      <c r="T1485" s="384"/>
      <c r="U1485" s="384"/>
      <c r="V1485" s="384"/>
      <c r="W1485" s="384"/>
      <c r="X1485" s="384"/>
      <c r="Y1485" s="384">
        <f>Z1485/P1485*100</f>
        <v>8.0909090909090899</v>
      </c>
      <c r="Z1485" s="60">
        <f>SUM(R1485,T1485,V1485,X1485)</f>
        <v>4450</v>
      </c>
      <c r="AA1485" s="384">
        <f t="shared" si="407"/>
        <v>8.0909090909090899</v>
      </c>
      <c r="AB1485" s="60">
        <f t="shared" si="407"/>
        <v>4450</v>
      </c>
      <c r="AC1485" s="389">
        <f t="shared" si="408"/>
        <v>8.0909090909090899</v>
      </c>
      <c r="AD1485" s="737">
        <f t="shared" si="408"/>
        <v>8.0909090909090899</v>
      </c>
      <c r="AE1485" s="390" t="e">
        <f>AE1484</f>
        <v>#REF!</v>
      </c>
    </row>
    <row r="1486" spans="1:31" s="63" customFormat="1" ht="51">
      <c r="A1486" s="385">
        <v>3</v>
      </c>
      <c r="B1486" s="1887"/>
      <c r="C1486" s="1898">
        <v>3</v>
      </c>
      <c r="D1486" s="1900" t="s">
        <v>107</v>
      </c>
      <c r="E1486" s="1905" t="s">
        <v>196</v>
      </c>
      <c r="F1486" s="1900" t="s">
        <v>65</v>
      </c>
      <c r="G1486" s="1900" t="s">
        <v>161</v>
      </c>
      <c r="H1486" s="1898"/>
      <c r="I1486" s="383" t="s">
        <v>226</v>
      </c>
      <c r="J1486" s="741" t="s">
        <v>945</v>
      </c>
      <c r="K1486" s="384">
        <v>80</v>
      </c>
      <c r="L1486" s="738">
        <f>SUM(L1487)</f>
        <v>380650</v>
      </c>
      <c r="M1486" s="742">
        <f>SUM(M1487)</f>
        <v>80</v>
      </c>
      <c r="N1486" s="750">
        <f>SUM(N1487)</f>
        <v>53019.8</v>
      </c>
      <c r="O1486" s="742">
        <f>P1486/L1486*100</f>
        <v>0</v>
      </c>
      <c r="P1486" s="699">
        <f>SUM(P1487:P1487)</f>
        <v>0</v>
      </c>
      <c r="Q1486" s="742">
        <f>SUM(Q1487)</f>
        <v>0</v>
      </c>
      <c r="R1486" s="751" t="s">
        <v>154</v>
      </c>
      <c r="S1486" s="742">
        <f>SUM(S1487)</f>
        <v>0</v>
      </c>
      <c r="T1486" s="385"/>
      <c r="U1486" s="742">
        <f>SUM(U1487)</f>
        <v>0</v>
      </c>
      <c r="V1486" s="385"/>
      <c r="W1486" s="742">
        <f>SUM(W1487)</f>
        <v>0</v>
      </c>
      <c r="X1486" s="385"/>
      <c r="Y1486" s="742">
        <f>SUM(Y1487)</f>
        <v>80</v>
      </c>
      <c r="Z1486" s="387">
        <f>SUM(Z1487:Z1537)</f>
        <v>1500004750.6919999</v>
      </c>
      <c r="AA1486" s="387">
        <f>M1486+Y1486</f>
        <v>160</v>
      </c>
      <c r="AB1486" s="386">
        <f>SUM(AB1487)</f>
        <v>53019.8</v>
      </c>
      <c r="AC1486" s="389">
        <f t="shared" si="408"/>
        <v>200</v>
      </c>
      <c r="AD1486" s="389">
        <f>SUM(AD1487)</f>
        <v>13.928753448049392</v>
      </c>
      <c r="AE1486" s="390" t="s">
        <v>913</v>
      </c>
    </row>
    <row r="1487" spans="1:31" s="63" customFormat="1" ht="51">
      <c r="A1487" s="385"/>
      <c r="B1487" s="1887"/>
      <c r="C1487" s="1898">
        <v>3</v>
      </c>
      <c r="D1487" s="1900" t="s">
        <v>107</v>
      </c>
      <c r="E1487" s="1905" t="s">
        <v>196</v>
      </c>
      <c r="F1487" s="1900" t="s">
        <v>65</v>
      </c>
      <c r="G1487" s="1900" t="s">
        <v>161</v>
      </c>
      <c r="H1487" s="1900" t="s">
        <v>66</v>
      </c>
      <c r="I1487" s="384" t="s">
        <v>209</v>
      </c>
      <c r="J1487" s="741" t="s">
        <v>946</v>
      </c>
      <c r="K1487" s="384">
        <v>80</v>
      </c>
      <c r="L1487" s="738">
        <f>[8]Sheet1!$T$43/1000</f>
        <v>380650</v>
      </c>
      <c r="M1487" s="384">
        <v>80</v>
      </c>
      <c r="N1487" s="738">
        <v>53019.8</v>
      </c>
      <c r="O1487" s="742">
        <f>P1487/L1487*100</f>
        <v>0</v>
      </c>
      <c r="P1487" s="708">
        <v>0</v>
      </c>
      <c r="Q1487" s="384" t="s">
        <v>154</v>
      </c>
      <c r="R1487" s="739" t="s">
        <v>154</v>
      </c>
      <c r="S1487" s="384" t="s">
        <v>154</v>
      </c>
      <c r="T1487" s="384"/>
      <c r="U1487" s="384"/>
      <c r="V1487" s="384"/>
      <c r="W1487" s="384"/>
      <c r="X1487" s="384"/>
      <c r="Y1487" s="384">
        <f>W1487+K1487</f>
        <v>80</v>
      </c>
      <c r="Z1487" s="590"/>
      <c r="AA1487" s="384">
        <f>Y1487+M1487</f>
        <v>160</v>
      </c>
      <c r="AB1487" s="60">
        <f t="shared" ref="AB1487" si="410">N1487+Z1487</f>
        <v>53019.8</v>
      </c>
      <c r="AC1487" s="737">
        <f t="shared" ref="AC1487:AD1489" si="411">(AA1487/K1487)*100</f>
        <v>200</v>
      </c>
      <c r="AD1487" s="737">
        <f t="shared" si="411"/>
        <v>13.928753448049392</v>
      </c>
      <c r="AE1487" s="390" t="str">
        <f>AE1486</f>
        <v>Badan Pendapatan</v>
      </c>
    </row>
    <row r="1488" spans="1:31" s="63" customFormat="1" ht="39" customHeight="1">
      <c r="A1488" s="385">
        <v>4</v>
      </c>
      <c r="B1488" s="1887"/>
      <c r="C1488" s="1898">
        <v>3</v>
      </c>
      <c r="D1488" s="1900" t="s">
        <v>107</v>
      </c>
      <c r="E1488" s="1905" t="s">
        <v>196</v>
      </c>
      <c r="F1488" s="1900" t="s">
        <v>65</v>
      </c>
      <c r="G1488" s="1898">
        <v>15</v>
      </c>
      <c r="H1488" s="1898"/>
      <c r="I1488" s="383" t="s">
        <v>985</v>
      </c>
      <c r="J1488" s="741" t="s">
        <v>947</v>
      </c>
      <c r="K1488" s="384">
        <v>100</v>
      </c>
      <c r="L1488" s="738">
        <f>SUM(L1489)</f>
        <v>256245</v>
      </c>
      <c r="M1488" s="742">
        <f>N1488/L1488*100</f>
        <v>0</v>
      </c>
      <c r="N1488" s="750">
        <f>SUM(N1489)</f>
        <v>0</v>
      </c>
      <c r="O1488" s="742">
        <f>P1488/L1488*100</f>
        <v>17.561318269624774</v>
      </c>
      <c r="P1488" s="742">
        <f>SUM(P1489)</f>
        <v>45000</v>
      </c>
      <c r="Q1488" s="742">
        <f>R1488/P1488*100</f>
        <v>1.1111111111111112</v>
      </c>
      <c r="R1488" s="699">
        <f>SUM(R1489)</f>
        <v>500</v>
      </c>
      <c r="S1488" s="742"/>
      <c r="T1488" s="385"/>
      <c r="U1488" s="742">
        <f>SUM(U1491:U1491)</f>
        <v>0</v>
      </c>
      <c r="V1488" s="385"/>
      <c r="W1488" s="742">
        <f>SUM(W1491:W1491)</f>
        <v>0</v>
      </c>
      <c r="X1488" s="385"/>
      <c r="Y1488" s="742">
        <f>SUM(Y1491:Y1491)</f>
        <v>0</v>
      </c>
      <c r="Z1488" s="387">
        <f>SUM(Z1491:Z1542)</f>
        <v>962175905.34599996</v>
      </c>
      <c r="AA1488" s="385">
        <f>M1488+Y1488</f>
        <v>0</v>
      </c>
      <c r="AB1488" s="386">
        <f>SUM(AB1491:AB1491)</f>
        <v>24602</v>
      </c>
      <c r="AC1488" s="389">
        <f t="shared" si="411"/>
        <v>0</v>
      </c>
      <c r="AD1488" s="389">
        <f t="shared" si="411"/>
        <v>9.6009678237624136</v>
      </c>
      <c r="AE1488" s="390" t="s">
        <v>913</v>
      </c>
    </row>
    <row r="1489" spans="1:32" s="63" customFormat="1" ht="38.25">
      <c r="A1489" s="385"/>
      <c r="B1489" s="1887"/>
      <c r="C1489" s="1898">
        <v>3</v>
      </c>
      <c r="D1489" s="1900" t="s">
        <v>107</v>
      </c>
      <c r="E1489" s="1905" t="s">
        <v>196</v>
      </c>
      <c r="F1489" s="1900" t="s">
        <v>65</v>
      </c>
      <c r="G1489" s="1898">
        <v>15</v>
      </c>
      <c r="H1489" s="1898">
        <v>11</v>
      </c>
      <c r="I1489" s="384" t="s">
        <v>948</v>
      </c>
      <c r="J1489" s="741" t="s">
        <v>949</v>
      </c>
      <c r="K1489" s="384">
        <v>100</v>
      </c>
      <c r="L1489" s="738">
        <f>[8]Sheet1!$T$45/1000</f>
        <v>256245</v>
      </c>
      <c r="M1489" s="742">
        <f>N1489/L1489*100</f>
        <v>0</v>
      </c>
      <c r="N1489" s="738">
        <v>0</v>
      </c>
      <c r="O1489" s="742">
        <f>P1489/L1489*100</f>
        <v>17.561318269624774</v>
      </c>
      <c r="P1489" s="708">
        <f>45000000/1000</f>
        <v>45000</v>
      </c>
      <c r="Q1489" s="742">
        <f>R1489/P1489*100</f>
        <v>1.1111111111111112</v>
      </c>
      <c r="R1489" s="708">
        <v>500</v>
      </c>
      <c r="S1489" s="384"/>
      <c r="T1489" s="384"/>
      <c r="U1489" s="384"/>
      <c r="V1489" s="384"/>
      <c r="W1489" s="384"/>
      <c r="X1489" s="384"/>
      <c r="Y1489" s="384"/>
      <c r="Z1489" s="590"/>
      <c r="AA1489" s="384">
        <v>30</v>
      </c>
      <c r="AB1489" s="60">
        <f>N1489+Z1489</f>
        <v>0</v>
      </c>
      <c r="AC1489" s="737">
        <f t="shared" si="411"/>
        <v>30</v>
      </c>
      <c r="AD1489" s="737">
        <f t="shared" si="411"/>
        <v>0</v>
      </c>
      <c r="AE1489" s="390" t="str">
        <f>AE1491</f>
        <v>Badan Pendapatan</v>
      </c>
    </row>
    <row r="1490" spans="1:32" s="63" customFormat="1" ht="51">
      <c r="A1490" s="385"/>
      <c r="B1490" s="1887"/>
      <c r="C1490" s="1898">
        <v>3</v>
      </c>
      <c r="D1490" s="1900" t="s">
        <v>107</v>
      </c>
      <c r="E1490" s="1905" t="s">
        <v>196</v>
      </c>
      <c r="F1490" s="1900" t="s">
        <v>65</v>
      </c>
      <c r="G1490" s="1900" t="s">
        <v>197</v>
      </c>
      <c r="H1490" s="1898"/>
      <c r="I1490" s="383" t="s">
        <v>227</v>
      </c>
      <c r="J1490" s="741"/>
      <c r="K1490" s="384"/>
      <c r="L1490" s="738">
        <f>SUM(L1491,L1492,L1493,L1494,L1495,L1496,L1497,L1498,L1499,L1500,L1501,L1502,L1503,L1504,L1505,L1506,L1507,L1508,L1509,L1510,L1511,L1512,L1513,L1514,L1515,L1516)</f>
        <v>23332306.193747606</v>
      </c>
      <c r="M1490" s="742">
        <f t="shared" ref="M1490:R1490" si="412">SUM(M1491)</f>
        <v>41.153348399654142</v>
      </c>
      <c r="N1490" s="750">
        <f t="shared" si="412"/>
        <v>24602</v>
      </c>
      <c r="O1490" s="742">
        <f t="shared" si="412"/>
        <v>0</v>
      </c>
      <c r="P1490" s="699">
        <f t="shared" si="412"/>
        <v>0</v>
      </c>
      <c r="Q1490" s="742">
        <f t="shared" si="412"/>
        <v>0</v>
      </c>
      <c r="R1490" s="699">
        <f t="shared" si="412"/>
        <v>0</v>
      </c>
      <c r="S1490" s="699"/>
      <c r="T1490" s="699">
        <f t="shared" ref="T1490:AD1490" si="413">SUM(T1491)</f>
        <v>0</v>
      </c>
      <c r="U1490" s="699">
        <f t="shared" si="413"/>
        <v>0</v>
      </c>
      <c r="V1490" s="699">
        <f t="shared" si="413"/>
        <v>0</v>
      </c>
      <c r="W1490" s="699">
        <f t="shared" si="413"/>
        <v>0</v>
      </c>
      <c r="X1490" s="699">
        <f t="shared" si="413"/>
        <v>0</v>
      </c>
      <c r="Y1490" s="699">
        <f t="shared" si="413"/>
        <v>0</v>
      </c>
      <c r="Z1490" s="699">
        <f t="shared" si="413"/>
        <v>0</v>
      </c>
      <c r="AA1490" s="699">
        <f t="shared" si="413"/>
        <v>30</v>
      </c>
      <c r="AB1490" s="699">
        <f t="shared" si="413"/>
        <v>24602</v>
      </c>
      <c r="AC1490" s="699">
        <f t="shared" si="413"/>
        <v>30</v>
      </c>
      <c r="AD1490" s="699">
        <f t="shared" si="413"/>
        <v>41.153348399654142</v>
      </c>
      <c r="AE1490" s="390" t="s">
        <v>913</v>
      </c>
    </row>
    <row r="1491" spans="1:32" s="63" customFormat="1" ht="38.25">
      <c r="A1491" s="385"/>
      <c r="B1491" s="1887"/>
      <c r="C1491" s="1898">
        <v>3</v>
      </c>
      <c r="D1491" s="1900" t="s">
        <v>107</v>
      </c>
      <c r="E1491" s="1905" t="s">
        <v>196</v>
      </c>
      <c r="F1491" s="1900" t="s">
        <v>65</v>
      </c>
      <c r="G1491" s="1900" t="s">
        <v>197</v>
      </c>
      <c r="H1491" s="1898">
        <v>1</v>
      </c>
      <c r="I1491" s="384" t="s">
        <v>950</v>
      </c>
      <c r="J1491" s="741" t="s">
        <v>949</v>
      </c>
      <c r="K1491" s="384">
        <v>100</v>
      </c>
      <c r="L1491" s="738">
        <f>[8]Sheet1!$T$47/1000</f>
        <v>59781.283799999997</v>
      </c>
      <c r="M1491" s="384">
        <f>N1491/L1491*100</f>
        <v>41.153348399654142</v>
      </c>
      <c r="N1491" s="738">
        <v>24602</v>
      </c>
      <c r="O1491" s="384">
        <f>(P1491/L1491)*100</f>
        <v>0</v>
      </c>
      <c r="P1491" s="708">
        <v>0</v>
      </c>
      <c r="Q1491" s="384">
        <v>0</v>
      </c>
      <c r="R1491" s="708"/>
      <c r="S1491" s="384">
        <v>1</v>
      </c>
      <c r="T1491" s="384"/>
      <c r="U1491" s="384"/>
      <c r="V1491" s="384"/>
      <c r="W1491" s="384"/>
      <c r="X1491" s="384"/>
      <c r="Y1491" s="384"/>
      <c r="Z1491" s="590"/>
      <c r="AA1491" s="384">
        <v>30</v>
      </c>
      <c r="AB1491" s="60">
        <f>N1491+Z1491</f>
        <v>24602</v>
      </c>
      <c r="AC1491" s="737">
        <f>(AA1491/K1491)*100</f>
        <v>30</v>
      </c>
      <c r="AD1491" s="737">
        <f>(AB1491/L1491)*100</f>
        <v>41.153348399654142</v>
      </c>
      <c r="AE1491" s="390" t="str">
        <f>AE1487</f>
        <v>Badan Pendapatan</v>
      </c>
    </row>
    <row r="1492" spans="1:32" s="63" customFormat="1" ht="63.75">
      <c r="A1492" s="385">
        <v>5</v>
      </c>
      <c r="B1492" s="1887"/>
      <c r="C1492" s="1898">
        <v>3</v>
      </c>
      <c r="D1492" s="1900" t="s">
        <v>107</v>
      </c>
      <c r="E1492" s="1905" t="s">
        <v>196</v>
      </c>
      <c r="F1492" s="1900" t="s">
        <v>65</v>
      </c>
      <c r="G1492" s="1898">
        <v>17</v>
      </c>
      <c r="H1492" s="1898"/>
      <c r="I1492" s="383" t="s">
        <v>986</v>
      </c>
      <c r="J1492" s="344" t="s">
        <v>951</v>
      </c>
      <c r="K1492" s="745">
        <v>100</v>
      </c>
      <c r="L1492" s="738">
        <f>SUM(L1493:L1516)</f>
        <v>11636262.454973802</v>
      </c>
      <c r="M1492" s="385">
        <f t="shared" ref="M1492:M1516" si="414">N1492/L1492*100</f>
        <v>17.470606114861624</v>
      </c>
      <c r="N1492" s="750">
        <f>SUM(N1493:N1516)</f>
        <v>2032925.5800000003</v>
      </c>
      <c r="O1492" s="385">
        <f t="shared" ref="O1492:O1514" si="415">P1492/L1492*100</f>
        <v>16.054078396981343</v>
      </c>
      <c r="P1492" s="713">
        <f>SUM(P1493:P1516)</f>
        <v>1868094.6969999999</v>
      </c>
      <c r="Q1492" s="385">
        <v>12</v>
      </c>
      <c r="R1492" s="713">
        <f>SUM(R1493:R1516)</f>
        <v>458203.67299999995</v>
      </c>
      <c r="S1492" s="385"/>
      <c r="T1492" s="385"/>
      <c r="U1492" s="385"/>
      <c r="V1492" s="385"/>
      <c r="W1492" s="385"/>
      <c r="X1492" s="385"/>
      <c r="Y1492" s="385">
        <f>SUM(Y1493:Y1516)/24</f>
        <v>2.6951470968010072</v>
      </c>
      <c r="Z1492" s="387">
        <f>SUM(Z1493:Z1516)</f>
        <v>458203.67299999995</v>
      </c>
      <c r="AA1492" s="385">
        <f>SUM(AA1493:AA1516)/24</f>
        <v>36.979191755757064</v>
      </c>
      <c r="AB1492" s="386">
        <f>SUM(AB1493:AB1516)</f>
        <v>2491129.253</v>
      </c>
      <c r="AC1492" s="389">
        <f>SUM(AC1493:AC1516)/24</f>
        <v>36.979191755757064</v>
      </c>
      <c r="AD1492" s="389">
        <f>SUM(AD1493:AD1516)</f>
        <v>369.77115742173072</v>
      </c>
      <c r="AE1492" s="390" t="s">
        <v>913</v>
      </c>
      <c r="AF1492" s="744">
        <f>1977584.42-L1492</f>
        <v>-9658678.034973802</v>
      </c>
    </row>
    <row r="1493" spans="1:32" s="63" customFormat="1" ht="51">
      <c r="A1493" s="385"/>
      <c r="B1493" s="2339" t="s">
        <v>952</v>
      </c>
      <c r="C1493" s="1898">
        <v>3</v>
      </c>
      <c r="D1493" s="1900" t="s">
        <v>107</v>
      </c>
      <c r="E1493" s="1905" t="s">
        <v>196</v>
      </c>
      <c r="F1493" s="1900" t="s">
        <v>65</v>
      </c>
      <c r="G1493" s="1898">
        <v>17</v>
      </c>
      <c r="H1493" s="1898">
        <v>19</v>
      </c>
      <c r="I1493" s="384" t="s">
        <v>987</v>
      </c>
      <c r="J1493" s="741" t="s">
        <v>988</v>
      </c>
      <c r="K1493" s="745">
        <v>100</v>
      </c>
      <c r="L1493" s="738">
        <f>[8]Sheet1!$T$49/1000</f>
        <v>761078.43292299996</v>
      </c>
      <c r="M1493" s="385">
        <f t="shared" si="414"/>
        <v>16.831400609792365</v>
      </c>
      <c r="N1493" s="738">
        <v>128100.16</v>
      </c>
      <c r="O1493" s="385">
        <f t="shared" si="415"/>
        <v>6.6064540558445932</v>
      </c>
      <c r="P1493" s="708">
        <f>50280297/1000</f>
        <v>50280.296999999999</v>
      </c>
      <c r="Q1493" s="737">
        <f>(R1493/L1493)*100</f>
        <v>1.5241267520155282</v>
      </c>
      <c r="R1493" s="708">
        <v>11599.8</v>
      </c>
      <c r="S1493" s="384"/>
      <c r="T1493" s="384"/>
      <c r="U1493" s="384"/>
      <c r="V1493" s="384"/>
      <c r="W1493" s="384"/>
      <c r="X1493" s="384"/>
      <c r="Y1493" s="384">
        <f>(Z1493/P1493)*100</f>
        <v>23.070269453658952</v>
      </c>
      <c r="Z1493" s="590">
        <f>R1493+T1493+V1493+X1493</f>
        <v>11599.8</v>
      </c>
      <c r="AA1493" s="384">
        <f t="shared" ref="AA1493:AB1516" si="416">M1493+Y1493</f>
        <v>39.90167006345132</v>
      </c>
      <c r="AB1493" s="60">
        <f t="shared" si="416"/>
        <v>139699.96</v>
      </c>
      <c r="AC1493" s="737">
        <f>(AA1493/K1493)*100</f>
        <v>39.90167006345132</v>
      </c>
      <c r="AD1493" s="737">
        <f>(AB1493/L1493)*100</f>
        <v>18.355527361807894</v>
      </c>
      <c r="AE1493" s="390" t="str">
        <f>AE1491</f>
        <v>Badan Pendapatan</v>
      </c>
    </row>
    <row r="1494" spans="1:32" s="63" customFormat="1" ht="76.5">
      <c r="A1494" s="385"/>
      <c r="B1494" s="2340"/>
      <c r="C1494" s="1898">
        <v>3</v>
      </c>
      <c r="D1494" s="1900" t="s">
        <v>107</v>
      </c>
      <c r="E1494" s="1905" t="s">
        <v>196</v>
      </c>
      <c r="F1494" s="1900" t="s">
        <v>65</v>
      </c>
      <c r="G1494" s="1898">
        <v>17</v>
      </c>
      <c r="H1494" s="1898">
        <v>30</v>
      </c>
      <c r="I1494" s="384" t="s">
        <v>989</v>
      </c>
      <c r="J1494" s="741" t="s">
        <v>990</v>
      </c>
      <c r="K1494" s="745">
        <v>100</v>
      </c>
      <c r="L1494" s="738">
        <f>[8]Sheet1!$T$50/1000</f>
        <v>340178.66288080002</v>
      </c>
      <c r="M1494" s="385">
        <f t="shared" si="414"/>
        <v>20.027049734119341</v>
      </c>
      <c r="N1494" s="738">
        <v>68127.75</v>
      </c>
      <c r="O1494" s="385">
        <f t="shared" si="415"/>
        <v>13.522306076004122</v>
      </c>
      <c r="P1494" s="708">
        <f>46000000/1000</f>
        <v>46000</v>
      </c>
      <c r="Q1494" s="737">
        <f>(R1494/L1494)*100</f>
        <v>5.6270725029886632</v>
      </c>
      <c r="R1494" s="708">
        <v>19142.099999999999</v>
      </c>
      <c r="S1494" s="384"/>
      <c r="T1494" s="384"/>
      <c r="U1494" s="384"/>
      <c r="V1494" s="384"/>
      <c r="W1494" s="384"/>
      <c r="X1494" s="384"/>
      <c r="Y1494" s="384">
        <f>(Z1494/P1494)*100</f>
        <v>41.613260869565217</v>
      </c>
      <c r="Z1494" s="590">
        <f t="shared" ref="Z1494:Z1516" si="417">R1494+T1494+V1494+X1494</f>
        <v>19142.099999999999</v>
      </c>
      <c r="AA1494" s="384">
        <f t="shared" si="416"/>
        <v>61.640310603684554</v>
      </c>
      <c r="AB1494" s="60">
        <f t="shared" si="416"/>
        <v>87269.85</v>
      </c>
      <c r="AC1494" s="737">
        <f>(AA1494/K1494)*100</f>
        <v>61.640310603684554</v>
      </c>
      <c r="AD1494" s="737">
        <f>(AB1494/L1494)*100</f>
        <v>25.654122237108005</v>
      </c>
      <c r="AE1494" s="390" t="str">
        <f t="shared" ref="AE1494:AE1515" si="418">AE1493</f>
        <v>Badan Pendapatan</v>
      </c>
    </row>
    <row r="1495" spans="1:32" s="63" customFormat="1" ht="53.25" customHeight="1">
      <c r="A1495" s="385"/>
      <c r="B1495" s="1887"/>
      <c r="C1495" s="1898">
        <v>3</v>
      </c>
      <c r="D1495" s="1900" t="s">
        <v>107</v>
      </c>
      <c r="E1495" s="1905" t="s">
        <v>196</v>
      </c>
      <c r="F1495" s="1900" t="s">
        <v>65</v>
      </c>
      <c r="G1495" s="1898">
        <v>17</v>
      </c>
      <c r="H1495" s="1898">
        <v>31</v>
      </c>
      <c r="I1495" s="384" t="s">
        <v>991</v>
      </c>
      <c r="J1495" s="741" t="s">
        <v>992</v>
      </c>
      <c r="K1495" s="745">
        <v>100</v>
      </c>
      <c r="L1495" s="738">
        <f>[8]Sheet1!$T$51/1000</f>
        <v>431617.95480000001</v>
      </c>
      <c r="M1495" s="385">
        <f t="shared" si="414"/>
        <v>20.501301907378391</v>
      </c>
      <c r="N1495" s="738">
        <v>88487.3</v>
      </c>
      <c r="O1495" s="385">
        <f t="shared" si="415"/>
        <v>17.144759891717086</v>
      </c>
      <c r="P1495" s="708">
        <f>73999862/1000</f>
        <v>73999.861999999994</v>
      </c>
      <c r="Q1495" s="737">
        <f>(R1495/L1495)*100</f>
        <v>2.4280732262067608</v>
      </c>
      <c r="R1495" s="708">
        <v>10480</v>
      </c>
      <c r="S1495" s="384"/>
      <c r="T1495" s="384"/>
      <c r="U1495" s="384"/>
      <c r="V1495" s="384"/>
      <c r="W1495" s="384"/>
      <c r="X1495" s="384"/>
      <c r="Y1495" s="384"/>
      <c r="Z1495" s="590">
        <f t="shared" si="417"/>
        <v>10480</v>
      </c>
      <c r="AA1495" s="384">
        <f t="shared" si="416"/>
        <v>20.501301907378391</v>
      </c>
      <c r="AB1495" s="60">
        <f t="shared" si="416"/>
        <v>98967.3</v>
      </c>
      <c r="AC1495" s="737">
        <f t="shared" ref="AC1495:AD1497" si="419">(AA1495/K1495)*100</f>
        <v>20.501301907378391</v>
      </c>
      <c r="AD1495" s="737">
        <f t="shared" si="419"/>
        <v>22.929375133585154</v>
      </c>
      <c r="AE1495" s="390" t="str">
        <f t="shared" si="418"/>
        <v>Badan Pendapatan</v>
      </c>
    </row>
    <row r="1496" spans="1:32" s="63" customFormat="1" ht="46.5" customHeight="1">
      <c r="A1496" s="385"/>
      <c r="B1496" s="1887"/>
      <c r="C1496" s="1898">
        <v>3</v>
      </c>
      <c r="D1496" s="1900" t="s">
        <v>107</v>
      </c>
      <c r="E1496" s="1905" t="s">
        <v>196</v>
      </c>
      <c r="F1496" s="1900" t="s">
        <v>65</v>
      </c>
      <c r="G1496" s="1898">
        <v>17</v>
      </c>
      <c r="H1496" s="1898">
        <v>35</v>
      </c>
      <c r="I1496" s="384" t="s">
        <v>993</v>
      </c>
      <c r="J1496" s="741" t="s">
        <v>994</v>
      </c>
      <c r="K1496" s="745">
        <v>100</v>
      </c>
      <c r="L1496" s="738">
        <f>[8]Sheet1!$T$54/1000</f>
        <v>515247.92879999999</v>
      </c>
      <c r="M1496" s="385">
        <f t="shared" si="414"/>
        <v>15.388941045268689</v>
      </c>
      <c r="N1496" s="738">
        <v>79291.199999999997</v>
      </c>
      <c r="O1496" s="385">
        <f t="shared" si="415"/>
        <v>0</v>
      </c>
      <c r="P1496" s="708">
        <v>0</v>
      </c>
      <c r="Q1496" s="737"/>
      <c r="R1496" s="708"/>
      <c r="S1496" s="384"/>
      <c r="T1496" s="384"/>
      <c r="U1496" s="384"/>
      <c r="V1496" s="384"/>
      <c r="W1496" s="384"/>
      <c r="X1496" s="384"/>
      <c r="Y1496" s="384"/>
      <c r="Z1496" s="590">
        <f t="shared" si="417"/>
        <v>0</v>
      </c>
      <c r="AA1496" s="384">
        <f t="shared" si="416"/>
        <v>15.388941045268689</v>
      </c>
      <c r="AB1496" s="60">
        <f t="shared" si="416"/>
        <v>79291.199999999997</v>
      </c>
      <c r="AC1496" s="737">
        <f t="shared" si="419"/>
        <v>15.388941045268689</v>
      </c>
      <c r="AD1496" s="737">
        <f t="shared" si="419"/>
        <v>15.388941045268689</v>
      </c>
      <c r="AE1496" s="390" t="str">
        <f>AE1499</f>
        <v>Badan Pendapatan</v>
      </c>
    </row>
    <row r="1497" spans="1:32" s="63" customFormat="1" ht="69.75" customHeight="1">
      <c r="A1497" s="385"/>
      <c r="B1497" s="1887"/>
      <c r="C1497" s="1898">
        <v>3</v>
      </c>
      <c r="D1497" s="1900" t="s">
        <v>107</v>
      </c>
      <c r="E1497" s="1905" t="s">
        <v>196</v>
      </c>
      <c r="F1497" s="1900" t="s">
        <v>65</v>
      </c>
      <c r="G1497" s="1898">
        <v>17</v>
      </c>
      <c r="H1497" s="1898">
        <v>44</v>
      </c>
      <c r="I1497" s="384" t="s">
        <v>995</v>
      </c>
      <c r="J1497" s="741" t="s">
        <v>996</v>
      </c>
      <c r="K1497" s="745">
        <v>100</v>
      </c>
      <c r="L1497" s="738">
        <f>[8]Sheet1!$T$58/1000</f>
        <v>662667.55600999994</v>
      </c>
      <c r="M1497" s="385">
        <f t="shared" si="414"/>
        <v>15.618691312305341</v>
      </c>
      <c r="N1497" s="738">
        <v>103500</v>
      </c>
      <c r="O1497" s="385">
        <f t="shared" si="415"/>
        <v>14.230337541766866</v>
      </c>
      <c r="P1497" s="708">
        <f>94299830/1000</f>
        <v>94299.83</v>
      </c>
      <c r="Q1497" s="737">
        <f>(R1497/L1497)*100</f>
        <v>2.3772100893018946</v>
      </c>
      <c r="R1497" s="708">
        <v>15753</v>
      </c>
      <c r="S1497" s="384"/>
      <c r="T1497" s="384"/>
      <c r="U1497" s="384"/>
      <c r="V1497" s="384"/>
      <c r="W1497" s="384"/>
      <c r="X1497" s="384"/>
      <c r="Y1497" s="384"/>
      <c r="Z1497" s="590">
        <f t="shared" si="417"/>
        <v>15753</v>
      </c>
      <c r="AA1497" s="384">
        <f t="shared" si="416"/>
        <v>15.618691312305341</v>
      </c>
      <c r="AB1497" s="60">
        <f t="shared" si="416"/>
        <v>119253</v>
      </c>
      <c r="AC1497" s="737">
        <f t="shared" si="419"/>
        <v>15.618691312305341</v>
      </c>
      <c r="AD1497" s="737">
        <f t="shared" si="419"/>
        <v>17.995901401607238</v>
      </c>
      <c r="AE1497" s="390" t="str">
        <f>AE1500</f>
        <v>Badan Pendapatan</v>
      </c>
    </row>
    <row r="1498" spans="1:32" s="63" customFormat="1" ht="51" customHeight="1">
      <c r="A1498" s="385"/>
      <c r="B1498" s="1887" t="s">
        <v>953</v>
      </c>
      <c r="C1498" s="1898">
        <v>3</v>
      </c>
      <c r="D1498" s="1900" t="s">
        <v>107</v>
      </c>
      <c r="E1498" s="1905" t="s">
        <v>196</v>
      </c>
      <c r="F1498" s="1900" t="s">
        <v>65</v>
      </c>
      <c r="G1498" s="1898">
        <v>17</v>
      </c>
      <c r="H1498" s="1898">
        <v>32</v>
      </c>
      <c r="I1498" s="384" t="s">
        <v>997</v>
      </c>
      <c r="J1498" s="741" t="s">
        <v>998</v>
      </c>
      <c r="K1498" s="384">
        <v>100</v>
      </c>
      <c r="L1498" s="738">
        <f>[8]Sheet1!$T$52/1000</f>
        <v>1780479.0988699999</v>
      </c>
      <c r="M1498" s="385">
        <f t="shared" si="414"/>
        <v>20.85064633646148</v>
      </c>
      <c r="N1498" s="738">
        <v>371241.4</v>
      </c>
      <c r="O1498" s="385">
        <f t="shared" si="415"/>
        <v>15.729804925974522</v>
      </c>
      <c r="P1498" s="708">
        <f>280065889/1000</f>
        <v>280065.88900000002</v>
      </c>
      <c r="Q1498" s="737">
        <f t="shared" ref="Q1498:Q1515" si="420">(R1498/L1498)*100</f>
        <v>12.67110072469727</v>
      </c>
      <c r="R1498" s="708">
        <v>225606.3</v>
      </c>
      <c r="S1498" s="384"/>
      <c r="T1498" s="384"/>
      <c r="U1498" s="384"/>
      <c r="V1498" s="384"/>
      <c r="W1498" s="384"/>
      <c r="X1498" s="384"/>
      <c r="Y1498" s="384"/>
      <c r="Z1498" s="590">
        <f t="shared" si="417"/>
        <v>225606.3</v>
      </c>
      <c r="AA1498" s="384">
        <f t="shared" si="416"/>
        <v>20.85064633646148</v>
      </c>
      <c r="AB1498" s="60">
        <f t="shared" si="416"/>
        <v>596847.69999999995</v>
      </c>
      <c r="AC1498" s="737">
        <f>(AA1498/K1498)*100</f>
        <v>20.85064633646148</v>
      </c>
      <c r="AD1498" s="737">
        <f>(AB1498/L1498)*100</f>
        <v>33.521747061158749</v>
      </c>
      <c r="AE1498" s="390" t="str">
        <f>AE1495</f>
        <v>Badan Pendapatan</v>
      </c>
    </row>
    <row r="1499" spans="1:32" s="63" customFormat="1" ht="60" customHeight="1">
      <c r="A1499" s="385"/>
      <c r="B1499" s="1887"/>
      <c r="C1499" s="1898">
        <v>3</v>
      </c>
      <c r="D1499" s="1900" t="s">
        <v>107</v>
      </c>
      <c r="E1499" s="1905" t="s">
        <v>196</v>
      </c>
      <c r="F1499" s="1900" t="s">
        <v>65</v>
      </c>
      <c r="G1499" s="1898">
        <v>17</v>
      </c>
      <c r="H1499" s="1898">
        <v>33</v>
      </c>
      <c r="I1499" s="384" t="s">
        <v>999</v>
      </c>
      <c r="J1499" s="741" t="s">
        <v>1000</v>
      </c>
      <c r="K1499" s="384">
        <v>100</v>
      </c>
      <c r="L1499" s="738">
        <f>[8]Sheet1!$T$53/1000</f>
        <v>597638</v>
      </c>
      <c r="M1499" s="385">
        <f t="shared" si="414"/>
        <v>18.537956923756521</v>
      </c>
      <c r="N1499" s="738">
        <v>110789.875</v>
      </c>
      <c r="O1499" s="385">
        <f t="shared" si="415"/>
        <v>19.744393763448777</v>
      </c>
      <c r="P1499" s="708">
        <f>118000000/1000</f>
        <v>118000</v>
      </c>
      <c r="Q1499" s="737">
        <f t="shared" si="420"/>
        <v>0.41028180938963049</v>
      </c>
      <c r="R1499" s="708">
        <v>2452</v>
      </c>
      <c r="S1499" s="384"/>
      <c r="T1499" s="384"/>
      <c r="U1499" s="384"/>
      <c r="V1499" s="384"/>
      <c r="W1499" s="384"/>
      <c r="X1499" s="384"/>
      <c r="Y1499" s="384"/>
      <c r="Z1499" s="590">
        <f t="shared" si="417"/>
        <v>2452</v>
      </c>
      <c r="AA1499" s="384">
        <f t="shared" si="416"/>
        <v>18.537956923756521</v>
      </c>
      <c r="AB1499" s="60">
        <f t="shared" si="416"/>
        <v>113241.875</v>
      </c>
      <c r="AC1499" s="737">
        <f>(AA1499/K1499)*100</f>
        <v>18.537956923756521</v>
      </c>
      <c r="AD1499" s="737">
        <f>(AB1499/L1499)*100</f>
        <v>18.948238733146152</v>
      </c>
      <c r="AE1499" s="390" t="str">
        <f t="shared" si="418"/>
        <v>Badan Pendapatan</v>
      </c>
    </row>
    <row r="1500" spans="1:32" s="63" customFormat="1" ht="42" customHeight="1">
      <c r="A1500" s="385"/>
      <c r="B1500" s="1887"/>
      <c r="C1500" s="1898">
        <v>3</v>
      </c>
      <c r="D1500" s="1900" t="s">
        <v>107</v>
      </c>
      <c r="E1500" s="1905" t="s">
        <v>196</v>
      </c>
      <c r="F1500" s="1900" t="s">
        <v>65</v>
      </c>
      <c r="G1500" s="1898">
        <v>17</v>
      </c>
      <c r="H1500" s="1898">
        <v>40</v>
      </c>
      <c r="I1500" s="384" t="s">
        <v>1001</v>
      </c>
      <c r="J1500" s="741" t="s">
        <v>1002</v>
      </c>
      <c r="K1500" s="384">
        <v>100</v>
      </c>
      <c r="L1500" s="738">
        <f>[8]Sheet1!$T$57/1000</f>
        <v>739387.48920000007</v>
      </c>
      <c r="M1500" s="385">
        <f t="shared" si="414"/>
        <v>19.800794865816076</v>
      </c>
      <c r="N1500" s="738">
        <v>146404.6</v>
      </c>
      <c r="O1500" s="385">
        <f t="shared" si="415"/>
        <v>0</v>
      </c>
      <c r="P1500" s="708">
        <v>0</v>
      </c>
      <c r="Q1500" s="737"/>
      <c r="R1500" s="708"/>
      <c r="S1500" s="384"/>
      <c r="T1500" s="384"/>
      <c r="U1500" s="384"/>
      <c r="V1500" s="384"/>
      <c r="W1500" s="384"/>
      <c r="X1500" s="384"/>
      <c r="Y1500" s="384"/>
      <c r="Z1500" s="590">
        <f t="shared" si="417"/>
        <v>0</v>
      </c>
      <c r="AA1500" s="384">
        <f t="shared" si="416"/>
        <v>19.800794865816076</v>
      </c>
      <c r="AB1500" s="60">
        <f t="shared" si="416"/>
        <v>146404.6</v>
      </c>
      <c r="AC1500" s="737">
        <f t="shared" ref="AC1500:AD1515" si="421">(AA1500/K1500)*100</f>
        <v>19.800794865816076</v>
      </c>
      <c r="AD1500" s="737">
        <f t="shared" si="421"/>
        <v>19.800794865816076</v>
      </c>
      <c r="AE1500" s="390" t="str">
        <f>AE1505</f>
        <v>Badan Pendapatan</v>
      </c>
    </row>
    <row r="1501" spans="1:32" s="63" customFormat="1" ht="63.75">
      <c r="A1501" s="385"/>
      <c r="B1501" s="1887"/>
      <c r="C1501" s="1898">
        <v>3</v>
      </c>
      <c r="D1501" s="1900" t="s">
        <v>107</v>
      </c>
      <c r="E1501" s="1905" t="s">
        <v>196</v>
      </c>
      <c r="F1501" s="1900" t="s">
        <v>65</v>
      </c>
      <c r="G1501" s="1898">
        <v>17</v>
      </c>
      <c r="H1501" s="1898">
        <v>66</v>
      </c>
      <c r="I1501" s="384" t="s">
        <v>1003</v>
      </c>
      <c r="J1501" s="741" t="s">
        <v>1004</v>
      </c>
      <c r="K1501" s="384">
        <v>100</v>
      </c>
      <c r="L1501" s="738">
        <f>[8]Sheet1!$T$60/1000</f>
        <v>1283069.6061099998</v>
      </c>
      <c r="M1501" s="385">
        <f t="shared" si="414"/>
        <v>4.8339388373511731</v>
      </c>
      <c r="N1501" s="738">
        <v>62022.8</v>
      </c>
      <c r="O1501" s="385">
        <f t="shared" si="415"/>
        <v>21.04320753248772</v>
      </c>
      <c r="P1501" s="708">
        <v>269999</v>
      </c>
      <c r="Q1501" s="737">
        <f>(R1501/L1501)*100</f>
        <v>4.080540350319187</v>
      </c>
      <c r="R1501" s="708">
        <v>52356.173000000003</v>
      </c>
      <c r="S1501" s="384"/>
      <c r="T1501" s="384"/>
      <c r="U1501" s="384"/>
      <c r="V1501" s="384"/>
      <c r="W1501" s="384"/>
      <c r="X1501" s="384"/>
      <c r="Y1501" s="384"/>
      <c r="Z1501" s="590">
        <f t="shared" si="417"/>
        <v>52356.173000000003</v>
      </c>
      <c r="AA1501" s="384">
        <f t="shared" si="416"/>
        <v>4.8339388373511731</v>
      </c>
      <c r="AB1501" s="60">
        <f t="shared" si="416"/>
        <v>114378.973</v>
      </c>
      <c r="AC1501" s="737">
        <f t="shared" si="421"/>
        <v>4.8339388373511731</v>
      </c>
      <c r="AD1501" s="737">
        <f t="shared" si="421"/>
        <v>8.9144791876703593</v>
      </c>
      <c r="AE1501" s="390" t="str">
        <f>AE1506</f>
        <v>Badan Pendapatan</v>
      </c>
    </row>
    <row r="1502" spans="1:32" s="63" customFormat="1" ht="81.75" customHeight="1">
      <c r="A1502" s="385"/>
      <c r="B1502" s="1887"/>
      <c r="C1502" s="1898">
        <v>3</v>
      </c>
      <c r="D1502" s="1900" t="s">
        <v>107</v>
      </c>
      <c r="E1502" s="1905" t="s">
        <v>196</v>
      </c>
      <c r="F1502" s="1900" t="s">
        <v>65</v>
      </c>
      <c r="G1502" s="1898">
        <v>17</v>
      </c>
      <c r="H1502" s="1898">
        <v>67</v>
      </c>
      <c r="I1502" s="384" t="s">
        <v>1005</v>
      </c>
      <c r="J1502" s="741" t="s">
        <v>1006</v>
      </c>
      <c r="K1502" s="384">
        <v>100</v>
      </c>
      <c r="L1502" s="738">
        <f>[8]Sheet1!$T$61/1000</f>
        <v>928199.72526999994</v>
      </c>
      <c r="M1502" s="385">
        <f t="shared" si="414"/>
        <v>9.1079654193399495</v>
      </c>
      <c r="N1502" s="738">
        <v>84540.11</v>
      </c>
      <c r="O1502" s="385">
        <f t="shared" si="415"/>
        <v>21.54707866799065</v>
      </c>
      <c r="P1502" s="708">
        <f>199999925/1000</f>
        <v>199999.92499999999</v>
      </c>
      <c r="Q1502" s="737">
        <f>(R1502/L1502)*100</f>
        <v>3.1108391021771458</v>
      </c>
      <c r="R1502" s="708">
        <v>28874.799999999999</v>
      </c>
      <c r="S1502" s="384"/>
      <c r="T1502" s="384"/>
      <c r="U1502" s="384"/>
      <c r="V1502" s="384"/>
      <c r="W1502" s="384"/>
      <c r="X1502" s="384"/>
      <c r="Y1502" s="384"/>
      <c r="Z1502" s="590">
        <f t="shared" si="417"/>
        <v>28874.799999999999</v>
      </c>
      <c r="AA1502" s="384">
        <f t="shared" si="416"/>
        <v>9.1079654193399495</v>
      </c>
      <c r="AB1502" s="60">
        <f t="shared" si="416"/>
        <v>113414.91</v>
      </c>
      <c r="AC1502" s="737">
        <f t="shared" si="421"/>
        <v>9.1079654193399495</v>
      </c>
      <c r="AD1502" s="737">
        <f t="shared" si="421"/>
        <v>12.218804521517095</v>
      </c>
      <c r="AE1502" s="390" t="str">
        <f>AE1501</f>
        <v>Badan Pendapatan</v>
      </c>
    </row>
    <row r="1503" spans="1:32" s="63" customFormat="1" ht="63.75">
      <c r="A1503" s="385"/>
      <c r="B1503" s="1887"/>
      <c r="C1503" s="1898">
        <v>3</v>
      </c>
      <c r="D1503" s="1900" t="s">
        <v>107</v>
      </c>
      <c r="E1503" s="1905" t="s">
        <v>196</v>
      </c>
      <c r="F1503" s="1900" t="s">
        <v>65</v>
      </c>
      <c r="G1503" s="1898">
        <v>17</v>
      </c>
      <c r="H1503" s="1898">
        <v>68</v>
      </c>
      <c r="I1503" s="384" t="s">
        <v>1007</v>
      </c>
      <c r="J1503" s="741" t="s">
        <v>1008</v>
      </c>
      <c r="K1503" s="384">
        <v>100</v>
      </c>
      <c r="L1503" s="738">
        <f>[8]Sheet1!$T$62/1000</f>
        <v>1019224.8047100001</v>
      </c>
      <c r="M1503" s="385">
        <f t="shared" si="414"/>
        <v>7.2861403742160489</v>
      </c>
      <c r="N1503" s="738">
        <v>74262.149999999994</v>
      </c>
      <c r="O1503" s="385">
        <f t="shared" si="415"/>
        <v>22.07559568411595</v>
      </c>
      <c r="P1503" s="708">
        <f>224999947/1000</f>
        <v>224999.94699999999</v>
      </c>
      <c r="Q1503" s="737">
        <f>(R1503/L1503)*100</f>
        <v>3.7629578698207387</v>
      </c>
      <c r="R1503" s="708">
        <v>38353</v>
      </c>
      <c r="S1503" s="384"/>
      <c r="T1503" s="384"/>
      <c r="U1503" s="384"/>
      <c r="V1503" s="384"/>
      <c r="W1503" s="384"/>
      <c r="X1503" s="384"/>
      <c r="Y1503" s="384"/>
      <c r="Z1503" s="590">
        <f t="shared" si="417"/>
        <v>38353</v>
      </c>
      <c r="AA1503" s="384">
        <f t="shared" si="416"/>
        <v>7.2861403742160489</v>
      </c>
      <c r="AB1503" s="60">
        <f t="shared" si="416"/>
        <v>112615.15</v>
      </c>
      <c r="AC1503" s="737">
        <f t="shared" si="421"/>
        <v>7.2861403742160489</v>
      </c>
      <c r="AD1503" s="737">
        <f t="shared" si="421"/>
        <v>11.049098244036788</v>
      </c>
      <c r="AE1503" s="390" t="str">
        <f>AE1502</f>
        <v>Badan Pendapatan</v>
      </c>
    </row>
    <row r="1504" spans="1:32" s="63" customFormat="1" ht="25.5">
      <c r="A1504" s="385"/>
      <c r="B1504" s="1887"/>
      <c r="C1504" s="1898">
        <v>3</v>
      </c>
      <c r="D1504" s="1900" t="s">
        <v>107</v>
      </c>
      <c r="E1504" s="1905" t="s">
        <v>196</v>
      </c>
      <c r="F1504" s="1900" t="s">
        <v>65</v>
      </c>
      <c r="G1504" s="1898">
        <v>17</v>
      </c>
      <c r="H1504" s="1898">
        <v>49</v>
      </c>
      <c r="I1504" s="384" t="s">
        <v>954</v>
      </c>
      <c r="J1504" s="741" t="s">
        <v>955</v>
      </c>
      <c r="K1504" s="384">
        <v>100</v>
      </c>
      <c r="L1504" s="738">
        <f>[8]Sheet1!$T$63/1000</f>
        <v>105676.82</v>
      </c>
      <c r="M1504" s="385">
        <f t="shared" si="414"/>
        <v>58.691016629758543</v>
      </c>
      <c r="N1504" s="738">
        <v>62022.8</v>
      </c>
      <c r="O1504" s="385">
        <f t="shared" si="415"/>
        <v>0</v>
      </c>
      <c r="P1504" s="708">
        <v>0</v>
      </c>
      <c r="Q1504" s="737"/>
      <c r="R1504" s="708"/>
      <c r="S1504" s="384"/>
      <c r="T1504" s="384"/>
      <c r="U1504" s="384"/>
      <c r="V1504" s="384"/>
      <c r="W1504" s="384"/>
      <c r="X1504" s="384"/>
      <c r="Y1504" s="384"/>
      <c r="Z1504" s="590">
        <f t="shared" si="417"/>
        <v>0</v>
      </c>
      <c r="AA1504" s="384">
        <f t="shared" si="416"/>
        <v>58.691016629758543</v>
      </c>
      <c r="AB1504" s="60">
        <f t="shared" si="416"/>
        <v>62022.8</v>
      </c>
      <c r="AC1504" s="737">
        <f t="shared" si="421"/>
        <v>58.691016629758543</v>
      </c>
      <c r="AD1504" s="737"/>
      <c r="AE1504" s="390" t="str">
        <f>AE1503</f>
        <v>Badan Pendapatan</v>
      </c>
    </row>
    <row r="1505" spans="1:31" s="63" customFormat="1" ht="109.5" customHeight="1">
      <c r="A1505" s="385"/>
      <c r="B1505" s="1887" t="s">
        <v>956</v>
      </c>
      <c r="C1505" s="1898">
        <v>3</v>
      </c>
      <c r="D1505" s="1900" t="s">
        <v>107</v>
      </c>
      <c r="E1505" s="1905" t="s">
        <v>196</v>
      </c>
      <c r="F1505" s="1900" t="s">
        <v>65</v>
      </c>
      <c r="G1505" s="1898">
        <v>17</v>
      </c>
      <c r="H1505" s="1898">
        <v>36</v>
      </c>
      <c r="I1505" s="384" t="s">
        <v>1009</v>
      </c>
      <c r="J1505" s="741" t="s">
        <v>1010</v>
      </c>
      <c r="K1505" s="384">
        <v>100</v>
      </c>
      <c r="L1505" s="738">
        <f>[8]Sheet1!$T$56/1000</f>
        <v>863911.76040000003</v>
      </c>
      <c r="M1505" s="385">
        <f t="shared" si="414"/>
        <v>10.879392816285129</v>
      </c>
      <c r="N1505" s="738">
        <v>93988.354000000007</v>
      </c>
      <c r="O1505" s="385">
        <f t="shared" si="415"/>
        <v>18.576017523560033</v>
      </c>
      <c r="P1505" s="708">
        <f>160480400/1000</f>
        <v>160480.4</v>
      </c>
      <c r="Q1505" s="737">
        <f t="shared" si="420"/>
        <v>2.9996119034195754</v>
      </c>
      <c r="R1505" s="708">
        <v>25914</v>
      </c>
      <c r="S1505" s="384"/>
      <c r="T1505" s="384"/>
      <c r="U1505" s="384"/>
      <c r="V1505" s="384"/>
      <c r="W1505" s="384"/>
      <c r="X1505" s="384"/>
      <c r="Y1505" s="384"/>
      <c r="Z1505" s="590">
        <f t="shared" si="417"/>
        <v>25914</v>
      </c>
      <c r="AA1505" s="384">
        <f t="shared" si="416"/>
        <v>10.879392816285129</v>
      </c>
      <c r="AB1505" s="60">
        <f t="shared" si="416"/>
        <v>119902.35400000001</v>
      </c>
      <c r="AC1505" s="737">
        <f t="shared" si="421"/>
        <v>10.879392816285129</v>
      </c>
      <c r="AD1505" s="737">
        <f>(AB1505/L1505)*100</f>
        <v>13.879004719704705</v>
      </c>
      <c r="AE1505" s="390" t="str">
        <f>AE1496</f>
        <v>Badan Pendapatan</v>
      </c>
    </row>
    <row r="1506" spans="1:31" s="63" customFormat="1" ht="38.25">
      <c r="A1506" s="385"/>
      <c r="B1506" s="1887"/>
      <c r="C1506" s="1898">
        <v>3</v>
      </c>
      <c r="D1506" s="1900" t="s">
        <v>107</v>
      </c>
      <c r="E1506" s="1905" t="s">
        <v>196</v>
      </c>
      <c r="F1506" s="1900" t="s">
        <v>65</v>
      </c>
      <c r="G1506" s="1898">
        <v>17</v>
      </c>
      <c r="H1506" s="1898">
        <v>53</v>
      </c>
      <c r="I1506" s="384" t="s">
        <v>1011</v>
      </c>
      <c r="J1506" s="741" t="s">
        <v>1012</v>
      </c>
      <c r="K1506" s="384">
        <v>100</v>
      </c>
      <c r="L1506" s="738">
        <f>[8]Sheet1!$T$69/1000</f>
        <v>710949.8</v>
      </c>
      <c r="M1506" s="385">
        <f t="shared" si="414"/>
        <v>17.736132705853493</v>
      </c>
      <c r="N1506" s="738">
        <v>126095</v>
      </c>
      <c r="O1506" s="385">
        <f t="shared" si="415"/>
        <v>16.87882885683349</v>
      </c>
      <c r="P1506" s="708">
        <f>120000000/1000</f>
        <v>120000</v>
      </c>
      <c r="Q1506" s="737">
        <f t="shared" si="420"/>
        <v>0.15500391166858757</v>
      </c>
      <c r="R1506" s="708">
        <v>1102</v>
      </c>
      <c r="S1506" s="384"/>
      <c r="T1506" s="384"/>
      <c r="U1506" s="384"/>
      <c r="V1506" s="384"/>
      <c r="W1506" s="384"/>
      <c r="X1506" s="384"/>
      <c r="Y1506" s="384"/>
      <c r="Z1506" s="590">
        <f t="shared" si="417"/>
        <v>1102</v>
      </c>
      <c r="AA1506" s="384">
        <f t="shared" si="416"/>
        <v>17.736132705853493</v>
      </c>
      <c r="AB1506" s="60">
        <f t="shared" si="416"/>
        <v>127197</v>
      </c>
      <c r="AC1506" s="737">
        <f t="shared" si="421"/>
        <v>17.736132705853493</v>
      </c>
      <c r="AD1506" s="737">
        <f>(AB1506/L1506)*100</f>
        <v>17.891136617522079</v>
      </c>
      <c r="AE1506" s="390" t="str">
        <f>AE1497</f>
        <v>Badan Pendapatan</v>
      </c>
    </row>
    <row r="1507" spans="1:31" s="63" customFormat="1" ht="104.25" customHeight="1">
      <c r="A1507" s="385"/>
      <c r="B1507" s="1887"/>
      <c r="C1507" s="1898">
        <v>3</v>
      </c>
      <c r="D1507" s="1900" t="s">
        <v>107</v>
      </c>
      <c r="E1507" s="1905" t="s">
        <v>196</v>
      </c>
      <c r="F1507" s="1900" t="s">
        <v>65</v>
      </c>
      <c r="G1507" s="1898">
        <v>17</v>
      </c>
      <c r="H1507" s="1898">
        <v>30</v>
      </c>
      <c r="I1507" s="384" t="s">
        <v>957</v>
      </c>
      <c r="J1507" s="384" t="s">
        <v>958</v>
      </c>
      <c r="K1507" s="384">
        <v>100</v>
      </c>
      <c r="L1507" s="738">
        <f>[8]Sheet1!$T$64/1000</f>
        <v>64596.764000000003</v>
      </c>
      <c r="M1507" s="385">
        <f t="shared" si="414"/>
        <v>130.87360072712002</v>
      </c>
      <c r="N1507" s="738">
        <v>84540.111000000004</v>
      </c>
      <c r="O1507" s="385">
        <f t="shared" si="415"/>
        <v>0</v>
      </c>
      <c r="P1507" s="708">
        <v>0</v>
      </c>
      <c r="Q1507" s="737"/>
      <c r="R1507" s="708"/>
      <c r="S1507" s="384"/>
      <c r="T1507" s="384"/>
      <c r="U1507" s="384"/>
      <c r="V1507" s="384"/>
      <c r="W1507" s="384"/>
      <c r="X1507" s="384"/>
      <c r="Y1507" s="384"/>
      <c r="Z1507" s="590">
        <f t="shared" si="417"/>
        <v>0</v>
      </c>
      <c r="AA1507" s="384">
        <f t="shared" si="416"/>
        <v>130.87360072712002</v>
      </c>
      <c r="AB1507" s="60">
        <f t="shared" si="416"/>
        <v>84540.111000000004</v>
      </c>
      <c r="AC1507" s="737">
        <f t="shared" si="421"/>
        <v>130.87360072712002</v>
      </c>
      <c r="AD1507" s="737"/>
      <c r="AE1507" s="390" t="str">
        <f>AE1504</f>
        <v>Badan Pendapatan</v>
      </c>
    </row>
    <row r="1508" spans="1:31" s="63" customFormat="1" ht="38.25">
      <c r="A1508" s="385"/>
      <c r="B1508" s="1887"/>
      <c r="C1508" s="1898">
        <v>3</v>
      </c>
      <c r="D1508" s="1900" t="s">
        <v>107</v>
      </c>
      <c r="E1508" s="1905" t="s">
        <v>196</v>
      </c>
      <c r="F1508" s="1900" t="s">
        <v>65</v>
      </c>
      <c r="G1508" s="1898">
        <v>17</v>
      </c>
      <c r="H1508" s="1898">
        <v>59</v>
      </c>
      <c r="I1508" s="384" t="s">
        <v>959</v>
      </c>
      <c r="J1508" s="741" t="s">
        <v>960</v>
      </c>
      <c r="K1508" s="384">
        <v>100</v>
      </c>
      <c r="L1508" s="738">
        <f>[8]Sheet1!$T$65/1000</f>
        <v>86765</v>
      </c>
      <c r="M1508" s="385">
        <f t="shared" si="414"/>
        <v>85.589984440730703</v>
      </c>
      <c r="N1508" s="738">
        <v>74262.149999999994</v>
      </c>
      <c r="O1508" s="385">
        <f t="shared" si="415"/>
        <v>0</v>
      </c>
      <c r="P1508" s="708">
        <v>0</v>
      </c>
      <c r="Q1508" s="737"/>
      <c r="R1508" s="708"/>
      <c r="S1508" s="384"/>
      <c r="T1508" s="384"/>
      <c r="U1508" s="384"/>
      <c r="V1508" s="384"/>
      <c r="W1508" s="384"/>
      <c r="X1508" s="384"/>
      <c r="Y1508" s="384"/>
      <c r="Z1508" s="590">
        <f t="shared" si="417"/>
        <v>0</v>
      </c>
      <c r="AA1508" s="384">
        <f t="shared" si="416"/>
        <v>85.589984440730703</v>
      </c>
      <c r="AB1508" s="60">
        <f>N1508+Z1508</f>
        <v>74262.149999999994</v>
      </c>
      <c r="AC1508" s="737">
        <f t="shared" si="421"/>
        <v>85.589984440730703</v>
      </c>
      <c r="AD1508" s="737"/>
      <c r="AE1508" s="390" t="str">
        <f t="shared" si="418"/>
        <v>Badan Pendapatan</v>
      </c>
    </row>
    <row r="1509" spans="1:31" s="63" customFormat="1" ht="38.25">
      <c r="A1509" s="385"/>
      <c r="B1509" s="1887"/>
      <c r="C1509" s="1898">
        <v>3</v>
      </c>
      <c r="D1509" s="1900" t="s">
        <v>107</v>
      </c>
      <c r="E1509" s="1905" t="s">
        <v>196</v>
      </c>
      <c r="F1509" s="1900" t="s">
        <v>65</v>
      </c>
      <c r="G1509" s="1898">
        <v>17</v>
      </c>
      <c r="H1509" s="1898">
        <v>60</v>
      </c>
      <c r="I1509" s="384" t="s">
        <v>961</v>
      </c>
      <c r="J1509" s="741" t="s">
        <v>962</v>
      </c>
      <c r="K1509" s="384">
        <v>100</v>
      </c>
      <c r="L1509" s="738">
        <f>[8]Sheet1!$T$66/1000</f>
        <v>79565</v>
      </c>
      <c r="M1509" s="385">
        <f t="shared" si="414"/>
        <v>80.069842267328596</v>
      </c>
      <c r="N1509" s="738">
        <v>63707.57</v>
      </c>
      <c r="O1509" s="385">
        <f t="shared" si="415"/>
        <v>0</v>
      </c>
      <c r="P1509" s="708">
        <v>0</v>
      </c>
      <c r="Q1509" s="737"/>
      <c r="R1509" s="708"/>
      <c r="S1509" s="384"/>
      <c r="T1509" s="384"/>
      <c r="U1509" s="384"/>
      <c r="V1509" s="384"/>
      <c r="W1509" s="384"/>
      <c r="X1509" s="384"/>
      <c r="Y1509" s="384"/>
      <c r="Z1509" s="590">
        <f t="shared" si="417"/>
        <v>0</v>
      </c>
      <c r="AA1509" s="384">
        <f t="shared" si="416"/>
        <v>80.069842267328596</v>
      </c>
      <c r="AB1509" s="60">
        <f t="shared" si="416"/>
        <v>63707.57</v>
      </c>
      <c r="AC1509" s="737">
        <f t="shared" si="421"/>
        <v>80.069842267328596</v>
      </c>
      <c r="AD1509" s="737"/>
      <c r="AE1509" s="390" t="str">
        <f t="shared" si="418"/>
        <v>Badan Pendapatan</v>
      </c>
    </row>
    <row r="1510" spans="1:31" s="63" customFormat="1" ht="51">
      <c r="A1510" s="385"/>
      <c r="B1510" s="1887"/>
      <c r="C1510" s="1898">
        <v>3</v>
      </c>
      <c r="D1510" s="1900" t="s">
        <v>107</v>
      </c>
      <c r="E1510" s="1905" t="s">
        <v>196</v>
      </c>
      <c r="F1510" s="1900" t="s">
        <v>65</v>
      </c>
      <c r="G1510" s="1898">
        <v>17</v>
      </c>
      <c r="H1510" s="1898">
        <v>61</v>
      </c>
      <c r="I1510" s="384" t="s">
        <v>963</v>
      </c>
      <c r="J1510" s="741" t="s">
        <v>964</v>
      </c>
      <c r="K1510" s="384">
        <v>100</v>
      </c>
      <c r="L1510" s="738">
        <f>[8]Sheet1!$T$67/1000</f>
        <v>81365</v>
      </c>
      <c r="M1510" s="385">
        <f t="shared" si="414"/>
        <v>91.312591409082529</v>
      </c>
      <c r="N1510" s="738">
        <v>74296.490000000005</v>
      </c>
      <c r="O1510" s="385">
        <f t="shared" si="415"/>
        <v>0</v>
      </c>
      <c r="P1510" s="708">
        <v>0</v>
      </c>
      <c r="Q1510" s="737"/>
      <c r="R1510" s="708"/>
      <c r="S1510" s="384"/>
      <c r="T1510" s="384"/>
      <c r="U1510" s="384"/>
      <c r="V1510" s="384"/>
      <c r="W1510" s="384"/>
      <c r="X1510" s="384"/>
      <c r="Y1510" s="384"/>
      <c r="Z1510" s="590">
        <f t="shared" si="417"/>
        <v>0</v>
      </c>
      <c r="AA1510" s="384">
        <f t="shared" si="416"/>
        <v>91.312591409082529</v>
      </c>
      <c r="AB1510" s="60">
        <f t="shared" si="416"/>
        <v>74296.490000000005</v>
      </c>
      <c r="AC1510" s="737">
        <f t="shared" si="421"/>
        <v>91.312591409082529</v>
      </c>
      <c r="AD1510" s="737"/>
      <c r="AE1510" s="390" t="str">
        <f t="shared" si="418"/>
        <v>Badan Pendapatan</v>
      </c>
    </row>
    <row r="1511" spans="1:31" s="63" customFormat="1" ht="55.5" customHeight="1">
      <c r="A1511" s="385"/>
      <c r="B1511" s="1887"/>
      <c r="C1511" s="1898">
        <v>3</v>
      </c>
      <c r="D1511" s="1900" t="s">
        <v>107</v>
      </c>
      <c r="E1511" s="1905" t="s">
        <v>196</v>
      </c>
      <c r="F1511" s="1900" t="s">
        <v>65</v>
      </c>
      <c r="G1511" s="1898">
        <v>17</v>
      </c>
      <c r="H1511" s="1898">
        <v>62</v>
      </c>
      <c r="I1511" s="384" t="s">
        <v>965</v>
      </c>
      <c r="J1511" s="741" t="s">
        <v>966</v>
      </c>
      <c r="K1511" s="384">
        <v>100</v>
      </c>
      <c r="L1511" s="738">
        <f>[8]Sheet1!$T$68/1000</f>
        <v>47611</v>
      </c>
      <c r="M1511" s="385">
        <f t="shared" si="414"/>
        <v>77.140114679380815</v>
      </c>
      <c r="N1511" s="738">
        <v>36727.18</v>
      </c>
      <c r="O1511" s="385">
        <f t="shared" si="415"/>
        <v>0</v>
      </c>
      <c r="P1511" s="708">
        <v>0</v>
      </c>
      <c r="Q1511" s="737"/>
      <c r="R1511" s="708"/>
      <c r="S1511" s="384"/>
      <c r="T1511" s="384"/>
      <c r="U1511" s="384"/>
      <c r="V1511" s="384"/>
      <c r="W1511" s="384"/>
      <c r="X1511" s="384"/>
      <c r="Y1511" s="384"/>
      <c r="Z1511" s="590">
        <f t="shared" si="417"/>
        <v>0</v>
      </c>
      <c r="AA1511" s="384">
        <f t="shared" si="416"/>
        <v>77.140114679380815</v>
      </c>
      <c r="AB1511" s="60">
        <f t="shared" si="416"/>
        <v>36727.18</v>
      </c>
      <c r="AC1511" s="737">
        <f t="shared" si="421"/>
        <v>77.140114679380815</v>
      </c>
      <c r="AD1511" s="737"/>
      <c r="AE1511" s="390" t="str">
        <f t="shared" si="418"/>
        <v>Badan Pendapatan</v>
      </c>
    </row>
    <row r="1512" spans="1:31" s="63" customFormat="1" ht="25.5">
      <c r="A1512" s="385"/>
      <c r="B1512" s="1887"/>
      <c r="C1512" s="1898"/>
      <c r="D1512" s="1898"/>
      <c r="E1512" s="1904"/>
      <c r="F1512" s="1898"/>
      <c r="G1512" s="1898"/>
      <c r="H1512" s="1898"/>
      <c r="I1512" s="384" t="s">
        <v>1013</v>
      </c>
      <c r="J1512" s="741" t="s">
        <v>967</v>
      </c>
      <c r="K1512" s="384">
        <v>100</v>
      </c>
      <c r="L1512" s="738">
        <f>[8]Sheet1!$T$72/1000</f>
        <v>165000</v>
      </c>
      <c r="M1512" s="385">
        <f t="shared" si="414"/>
        <v>0</v>
      </c>
      <c r="N1512" s="738">
        <v>0</v>
      </c>
      <c r="O1512" s="385">
        <f t="shared" si="415"/>
        <v>0</v>
      </c>
      <c r="P1512" s="708">
        <v>0</v>
      </c>
      <c r="Q1512" s="737"/>
      <c r="R1512" s="708"/>
      <c r="S1512" s="384"/>
      <c r="T1512" s="384"/>
      <c r="U1512" s="384"/>
      <c r="V1512" s="384"/>
      <c r="W1512" s="384"/>
      <c r="X1512" s="384"/>
      <c r="Y1512" s="384"/>
      <c r="Z1512" s="590">
        <f t="shared" si="417"/>
        <v>0</v>
      </c>
      <c r="AA1512" s="384">
        <f t="shared" si="416"/>
        <v>0</v>
      </c>
      <c r="AB1512" s="60">
        <f t="shared" si="416"/>
        <v>0</v>
      </c>
      <c r="AC1512" s="737">
        <f t="shared" si="421"/>
        <v>0</v>
      </c>
      <c r="AD1512" s="737">
        <f>(AB1512/L1512)*100</f>
        <v>0</v>
      </c>
      <c r="AE1512" s="390" t="str">
        <f>AE1503</f>
        <v>Badan Pendapatan</v>
      </c>
    </row>
    <row r="1513" spans="1:31" s="63" customFormat="1" ht="25.5">
      <c r="A1513" s="385"/>
      <c r="B1513" s="1887"/>
      <c r="C1513" s="1898">
        <v>3</v>
      </c>
      <c r="D1513" s="1900" t="s">
        <v>107</v>
      </c>
      <c r="E1513" s="1905" t="s">
        <v>196</v>
      </c>
      <c r="F1513" s="1900" t="s">
        <v>65</v>
      </c>
      <c r="G1513" s="1898">
        <v>17</v>
      </c>
      <c r="H1513" s="1898">
        <v>87</v>
      </c>
      <c r="I1513" s="384" t="s">
        <v>1014</v>
      </c>
      <c r="J1513" s="741" t="s">
        <v>968</v>
      </c>
      <c r="K1513" s="384">
        <v>100</v>
      </c>
      <c r="L1513" s="738">
        <f>[8]Sheet1!$T$73/1000</f>
        <v>79551.516000000003</v>
      </c>
      <c r="M1513" s="385">
        <f t="shared" si="414"/>
        <v>0</v>
      </c>
      <c r="N1513" s="738">
        <v>0</v>
      </c>
      <c r="O1513" s="385">
        <f t="shared" si="415"/>
        <v>90.909090909090907</v>
      </c>
      <c r="P1513" s="708">
        <f>72319560/1000</f>
        <v>72319.56</v>
      </c>
      <c r="Q1513" s="737">
        <f t="shared" si="420"/>
        <v>14.9758302531909</v>
      </c>
      <c r="R1513" s="708">
        <v>11913.5</v>
      </c>
      <c r="S1513" s="384"/>
      <c r="T1513" s="384"/>
      <c r="U1513" s="384"/>
      <c r="V1513" s="384"/>
      <c r="W1513" s="384"/>
      <c r="X1513" s="384"/>
      <c r="Y1513" s="384"/>
      <c r="Z1513" s="590">
        <f t="shared" si="417"/>
        <v>11913.5</v>
      </c>
      <c r="AA1513" s="384">
        <f t="shared" si="416"/>
        <v>0</v>
      </c>
      <c r="AB1513" s="60">
        <f t="shared" si="416"/>
        <v>11913.5</v>
      </c>
      <c r="AC1513" s="737">
        <f t="shared" si="421"/>
        <v>0</v>
      </c>
      <c r="AD1513" s="737">
        <f>(AB1513/L1513)*100</f>
        <v>14.9758302531909</v>
      </c>
      <c r="AE1513" s="390" t="str">
        <f t="shared" si="418"/>
        <v>Badan Pendapatan</v>
      </c>
    </row>
    <row r="1514" spans="1:31" s="63" customFormat="1" ht="25.5">
      <c r="A1514" s="385"/>
      <c r="B1514" s="1887"/>
      <c r="C1514" s="1898">
        <v>3</v>
      </c>
      <c r="D1514" s="1900" t="s">
        <v>107</v>
      </c>
      <c r="E1514" s="1905" t="s">
        <v>196</v>
      </c>
      <c r="F1514" s="1900" t="s">
        <v>65</v>
      </c>
      <c r="G1514" s="1898">
        <v>17</v>
      </c>
      <c r="H1514" s="1898">
        <v>88</v>
      </c>
      <c r="I1514" s="384" t="s">
        <v>1015</v>
      </c>
      <c r="J1514" s="741" t="s">
        <v>969</v>
      </c>
      <c r="K1514" s="384">
        <v>100</v>
      </c>
      <c r="L1514" s="738">
        <f>[8]Sheet1!$T$74/1000</f>
        <v>72640.284</v>
      </c>
      <c r="M1514" s="385">
        <f t="shared" si="414"/>
        <v>0</v>
      </c>
      <c r="N1514" s="738">
        <v>0</v>
      </c>
      <c r="O1514" s="385">
        <f t="shared" si="415"/>
        <v>82.644628702167523</v>
      </c>
      <c r="P1514" s="708">
        <f>60033293/1000</f>
        <v>60033.292999999998</v>
      </c>
      <c r="Q1514" s="737">
        <f t="shared" si="420"/>
        <v>11.002159628120395</v>
      </c>
      <c r="R1514" s="708">
        <v>7992</v>
      </c>
      <c r="S1514" s="384"/>
      <c r="T1514" s="384"/>
      <c r="U1514" s="384"/>
      <c r="V1514" s="384"/>
      <c r="W1514" s="384"/>
      <c r="X1514" s="384"/>
      <c r="Y1514" s="384"/>
      <c r="Z1514" s="590">
        <f t="shared" si="417"/>
        <v>7992</v>
      </c>
      <c r="AA1514" s="384">
        <f t="shared" si="416"/>
        <v>0</v>
      </c>
      <c r="AB1514" s="60">
        <f t="shared" si="416"/>
        <v>7992</v>
      </c>
      <c r="AC1514" s="737">
        <f t="shared" si="421"/>
        <v>0</v>
      </c>
      <c r="AD1514" s="737">
        <f>(AB1514/L1514)*100</f>
        <v>11.002159628120395</v>
      </c>
      <c r="AE1514" s="390" t="str">
        <f t="shared" si="418"/>
        <v>Badan Pendapatan</v>
      </c>
    </row>
    <row r="1515" spans="1:31" s="63" customFormat="1" ht="25.5">
      <c r="A1515" s="385"/>
      <c r="B1515" s="1887"/>
      <c r="C1515" s="1898">
        <v>3</v>
      </c>
      <c r="D1515" s="1900" t="s">
        <v>107</v>
      </c>
      <c r="E1515" s="1905" t="s">
        <v>196</v>
      </c>
      <c r="F1515" s="1900" t="s">
        <v>65</v>
      </c>
      <c r="G1515" s="1898">
        <v>17</v>
      </c>
      <c r="H1515" s="1898">
        <v>89</v>
      </c>
      <c r="I1515" s="384" t="s">
        <v>1016</v>
      </c>
      <c r="J1515" s="384" t="s">
        <v>970</v>
      </c>
      <c r="K1515" s="384">
        <v>100</v>
      </c>
      <c r="L1515" s="738">
        <f>[8]Sheet1!$T$75/1000</f>
        <v>121040.363</v>
      </c>
      <c r="M1515" s="385">
        <f t="shared" si="414"/>
        <v>0</v>
      </c>
      <c r="N1515" s="738">
        <v>0</v>
      </c>
      <c r="O1515" s="384">
        <v>80</v>
      </c>
      <c r="P1515" s="708">
        <f>97616694/1000</f>
        <v>97616.694000000003</v>
      </c>
      <c r="Q1515" s="737">
        <f t="shared" si="420"/>
        <v>5.5064276368701908</v>
      </c>
      <c r="R1515" s="708">
        <v>6665</v>
      </c>
      <c r="S1515" s="384"/>
      <c r="T1515" s="384"/>
      <c r="U1515" s="384"/>
      <c r="V1515" s="384"/>
      <c r="W1515" s="384"/>
      <c r="X1515" s="384"/>
      <c r="Y1515" s="384"/>
      <c r="Z1515" s="590">
        <f t="shared" si="417"/>
        <v>6665</v>
      </c>
      <c r="AA1515" s="384">
        <f t="shared" si="416"/>
        <v>0</v>
      </c>
      <c r="AB1515" s="60">
        <f t="shared" si="416"/>
        <v>6665</v>
      </c>
      <c r="AC1515" s="737">
        <f t="shared" si="421"/>
        <v>0</v>
      </c>
      <c r="AD1515" s="737">
        <f>(AB1515/L1515)*100</f>
        <v>5.5064276368701908</v>
      </c>
      <c r="AE1515" s="390" t="str">
        <f t="shared" si="418"/>
        <v>Badan Pendapatan</v>
      </c>
    </row>
    <row r="1516" spans="1:31" s="63" customFormat="1" ht="25.5">
      <c r="A1516" s="385"/>
      <c r="B1516" s="1887"/>
      <c r="C1516" s="1898">
        <v>3</v>
      </c>
      <c r="D1516" s="1900" t="s">
        <v>107</v>
      </c>
      <c r="E1516" s="1905" t="s">
        <v>196</v>
      </c>
      <c r="F1516" s="1900" t="s">
        <v>65</v>
      </c>
      <c r="G1516" s="1898">
        <v>17</v>
      </c>
      <c r="H1516" s="1898">
        <v>64</v>
      </c>
      <c r="I1516" s="384" t="s">
        <v>971</v>
      </c>
      <c r="J1516" s="384" t="s">
        <v>971</v>
      </c>
      <c r="K1516" s="384">
        <v>100</v>
      </c>
      <c r="L1516" s="738">
        <f>[10]Sheet1!$T$76/1000</f>
        <v>98799.888000000006</v>
      </c>
      <c r="M1516" s="385">
        <f t="shared" si="414"/>
        <v>101.73956877360023</v>
      </c>
      <c r="N1516" s="738">
        <v>100518.58</v>
      </c>
      <c r="O1516" s="384">
        <v>80</v>
      </c>
      <c r="P1516" s="708">
        <v>0</v>
      </c>
      <c r="Q1516" s="737"/>
      <c r="R1516" s="708"/>
      <c r="S1516" s="384"/>
      <c r="T1516" s="384"/>
      <c r="U1516" s="384"/>
      <c r="V1516" s="384"/>
      <c r="W1516" s="384"/>
      <c r="X1516" s="384"/>
      <c r="Y1516" s="384"/>
      <c r="Z1516" s="590">
        <f t="shared" si="417"/>
        <v>0</v>
      </c>
      <c r="AA1516" s="384">
        <f t="shared" si="416"/>
        <v>101.73956877360023</v>
      </c>
      <c r="AB1516" s="60">
        <f t="shared" si="416"/>
        <v>100518.58</v>
      </c>
      <c r="AC1516" s="737">
        <f t="shared" ref="AC1516" si="422">(AA1516/K1516)*100</f>
        <v>101.73956877360023</v>
      </c>
      <c r="AD1516" s="737">
        <f>(AB1516/L1516)*100</f>
        <v>101.73956877360023</v>
      </c>
      <c r="AE1516" s="390"/>
    </row>
    <row r="1517" spans="1:31" s="494" customFormat="1" ht="14.1" customHeight="1">
      <c r="A1517" s="2473" t="s">
        <v>100</v>
      </c>
      <c r="B1517" s="2473"/>
      <c r="C1517" s="2473"/>
      <c r="D1517" s="2473"/>
      <c r="E1517" s="2473"/>
      <c r="F1517" s="2473"/>
      <c r="G1517" s="2473"/>
      <c r="H1517" s="2473"/>
      <c r="I1517" s="2473"/>
      <c r="J1517" s="2473"/>
      <c r="K1517" s="2473"/>
      <c r="L1517" s="2473"/>
      <c r="M1517" s="2473"/>
      <c r="N1517" s="2473"/>
      <c r="O1517" s="2473"/>
      <c r="P1517" s="746">
        <f>P1492+P1488+P1486+P1470+P1458</f>
        <v>2864561.1079999995</v>
      </c>
      <c r="Q1517" s="2474"/>
      <c r="R1517" s="2474"/>
      <c r="S1517" s="2474"/>
      <c r="T1517" s="2474"/>
      <c r="U1517" s="2474"/>
      <c r="V1517" s="2474"/>
      <c r="W1517" s="2474"/>
      <c r="X1517" s="2474"/>
      <c r="Y1517" s="2474"/>
      <c r="Z1517" s="2474"/>
      <c r="AA1517" s="2474"/>
      <c r="AB1517" s="496">
        <f>AB1492+AB1488+AB1486+AB1470+AB1458</f>
        <v>4208297.5058855806</v>
      </c>
      <c r="AC1517" s="497"/>
      <c r="AD1517" s="497"/>
      <c r="AE1517" s="1891"/>
    </row>
    <row r="1518" spans="1:31" s="494" customFormat="1">
      <c r="A1518" s="2473" t="s">
        <v>101</v>
      </c>
      <c r="B1518" s="2473"/>
      <c r="C1518" s="2473"/>
      <c r="D1518" s="2473"/>
      <c r="E1518" s="2473"/>
      <c r="F1518" s="2473"/>
      <c r="G1518" s="2473"/>
      <c r="H1518" s="2473"/>
      <c r="I1518" s="2473"/>
      <c r="J1518" s="2473"/>
      <c r="K1518" s="2473"/>
      <c r="L1518" s="2473"/>
      <c r="M1518" s="2473"/>
      <c r="N1518" s="2473"/>
      <c r="O1518" s="2473"/>
      <c r="P1518" s="2473"/>
      <c r="Q1518" s="2473"/>
      <c r="R1518" s="2473"/>
      <c r="S1518" s="2473"/>
      <c r="T1518" s="2473"/>
      <c r="U1518" s="2473"/>
      <c r="V1518" s="2473"/>
      <c r="W1518" s="2473"/>
      <c r="X1518" s="2473"/>
      <c r="Y1518" s="2473"/>
      <c r="Z1518" s="2473"/>
      <c r="AA1518" s="2473"/>
      <c r="AB1518" s="2473"/>
      <c r="AC1518" s="609">
        <f>AVERAGE(AD1458,AD1470,AD1486,AD1488,AD1492)</f>
        <v>178.51992548294979</v>
      </c>
      <c r="AD1518" s="609">
        <f>(AB1517/P1517)*100</f>
        <v>146.90898002255435</v>
      </c>
      <c r="AE1518" s="1891"/>
    </row>
    <row r="1519" spans="1:31" s="494" customFormat="1">
      <c r="A1519" s="2473" t="s">
        <v>102</v>
      </c>
      <c r="B1519" s="2473"/>
      <c r="C1519" s="2473"/>
      <c r="D1519" s="2473"/>
      <c r="E1519" s="2473"/>
      <c r="F1519" s="2473"/>
      <c r="G1519" s="2473"/>
      <c r="H1519" s="2473"/>
      <c r="I1519" s="2473"/>
      <c r="J1519" s="2473"/>
      <c r="K1519" s="2473"/>
      <c r="L1519" s="2473"/>
      <c r="M1519" s="2473"/>
      <c r="N1519" s="2473"/>
      <c r="O1519" s="2473"/>
      <c r="P1519" s="2473"/>
      <c r="Q1519" s="2473"/>
      <c r="R1519" s="2473"/>
      <c r="S1519" s="2473"/>
      <c r="T1519" s="2473"/>
      <c r="U1519" s="2473"/>
      <c r="V1519" s="2473"/>
      <c r="W1519" s="2473"/>
      <c r="X1519" s="2473"/>
      <c r="Y1519" s="2473"/>
      <c r="Z1519" s="2473"/>
      <c r="AA1519" s="2473"/>
      <c r="AB1519" s="2473"/>
      <c r="AC1519" s="1891" t="str">
        <f t="shared" ref="AC1519:AD1519" si="423">IF(AC1518&gt;=45,"ST",IF(AC1518&gt;=38,"T",IF(AC1518&gt;=32,"S",IF(AC1518&gt;=25,"R","SR"))))</f>
        <v>ST</v>
      </c>
      <c r="AD1519" s="1891" t="str">
        <f t="shared" si="423"/>
        <v>ST</v>
      </c>
      <c r="AE1519" s="1891"/>
    </row>
    <row r="1520" spans="1:31" ht="19.5" customHeight="1">
      <c r="A1520" s="1888"/>
      <c r="B1520" s="1889"/>
      <c r="C1520" s="1889"/>
      <c r="D1520" s="1889"/>
      <c r="E1520" s="1889"/>
      <c r="F1520" s="1889"/>
      <c r="G1520" s="1889"/>
      <c r="H1520" s="1889"/>
      <c r="I1520" s="1889"/>
      <c r="J1520" s="1889"/>
      <c r="K1520" s="1889"/>
      <c r="L1520" s="1889"/>
      <c r="M1520" s="1889"/>
      <c r="N1520" s="1889"/>
      <c r="O1520" s="1889"/>
      <c r="P1520" s="1889"/>
      <c r="Q1520" s="1889"/>
      <c r="R1520" s="1889"/>
      <c r="S1520" s="1889"/>
      <c r="T1520" s="1889"/>
      <c r="U1520" s="1889"/>
      <c r="V1520" s="1889"/>
      <c r="W1520" s="1889"/>
      <c r="X1520" s="1889"/>
      <c r="Y1520" s="1889"/>
      <c r="Z1520" s="1889"/>
      <c r="AA1520" s="1889"/>
      <c r="AB1520" s="1889"/>
      <c r="AC1520" s="1889"/>
      <c r="AD1520" s="1889"/>
      <c r="AE1520" s="1890"/>
    </row>
    <row r="1521" spans="1:31" s="69" customFormat="1" ht="24.75" customHeight="1">
      <c r="A1521" s="366">
        <v>34</v>
      </c>
      <c r="B1521" s="67"/>
      <c r="C1521" s="67"/>
      <c r="D1521" s="67"/>
      <c r="E1521" s="67"/>
      <c r="F1521" s="67"/>
      <c r="G1521" s="67"/>
      <c r="H1521" s="67"/>
      <c r="I1521" s="68" t="s">
        <v>907</v>
      </c>
      <c r="J1521" s="67"/>
      <c r="K1521" s="67"/>
      <c r="L1521" s="67"/>
      <c r="M1521" s="67"/>
      <c r="N1521" s="67"/>
      <c r="O1521" s="67"/>
      <c r="P1521" s="67"/>
      <c r="Q1521" s="67"/>
      <c r="R1521" s="67"/>
      <c r="S1521" s="67"/>
      <c r="T1521" s="67"/>
      <c r="U1521" s="67"/>
      <c r="V1521" s="67"/>
      <c r="W1521" s="67"/>
      <c r="X1521" s="67"/>
      <c r="Y1521" s="366"/>
      <c r="Z1521" s="67"/>
      <c r="AA1521" s="67"/>
      <c r="AB1521" s="67"/>
      <c r="AC1521" s="67"/>
      <c r="AD1521" s="67"/>
      <c r="AE1521" s="67"/>
    </row>
    <row r="1522" spans="1:31" s="934" customFormat="1" ht="90" customHeight="1">
      <c r="A1522" s="987"/>
      <c r="B1522" s="991" t="s">
        <v>1233</v>
      </c>
      <c r="C1522" s="920">
        <v>3</v>
      </c>
      <c r="D1522" s="921" t="s">
        <v>107</v>
      </c>
      <c r="E1522" s="921" t="s">
        <v>95</v>
      </c>
      <c r="F1522" s="921" t="s">
        <v>66</v>
      </c>
      <c r="G1522" s="921">
        <v>31</v>
      </c>
      <c r="H1522" s="922">
        <v>38</v>
      </c>
      <c r="I1522" s="923" t="s">
        <v>1234</v>
      </c>
      <c r="J1522" s="923" t="s">
        <v>1235</v>
      </c>
      <c r="K1522" s="924">
        <v>35778</v>
      </c>
      <c r="L1522" s="925">
        <v>324996000</v>
      </c>
      <c r="M1522" s="922">
        <v>7178</v>
      </c>
      <c r="N1522" s="926">
        <v>158533000</v>
      </c>
      <c r="O1522" s="927">
        <v>2700</v>
      </c>
      <c r="P1522" s="928">
        <v>40449100</v>
      </c>
      <c r="Q1522" s="922">
        <v>606</v>
      </c>
      <c r="R1522" s="925">
        <v>6623000</v>
      </c>
      <c r="S1522" s="922"/>
      <c r="T1522" s="922"/>
      <c r="U1522" s="922"/>
      <c r="V1522" s="922"/>
      <c r="W1522" s="922"/>
      <c r="X1522" s="922"/>
      <c r="Y1522" s="929">
        <f>Q1522</f>
        <v>606</v>
      </c>
      <c r="Z1522" s="930">
        <f>R1522</f>
        <v>6623000</v>
      </c>
      <c r="AA1522" s="922">
        <f t="shared" ref="AA1522:AB1537" si="424">M1522+Y1522</f>
        <v>7784</v>
      </c>
      <c r="AB1522" s="931">
        <f t="shared" si="424"/>
        <v>165156000</v>
      </c>
      <c r="AC1522" s="932">
        <f t="shared" ref="AC1522:AD1536" si="425">(AA1522/K1522)*100</f>
        <v>21.75638660629437</v>
      </c>
      <c r="AD1522" s="933">
        <f t="shared" si="425"/>
        <v>50.817856219768856</v>
      </c>
      <c r="AE1522" s="922" t="s">
        <v>1232</v>
      </c>
    </row>
    <row r="1523" spans="1:31" s="934" customFormat="1" ht="106.5" customHeight="1">
      <c r="A1523" s="987"/>
      <c r="B1523" s="987"/>
      <c r="C1523" s="935">
        <v>3</v>
      </c>
      <c r="D1523" s="936" t="s">
        <v>107</v>
      </c>
      <c r="E1523" s="936" t="s">
        <v>95</v>
      </c>
      <c r="F1523" s="936" t="s">
        <v>66</v>
      </c>
      <c r="G1523" s="936">
        <v>31</v>
      </c>
      <c r="H1523" s="922">
        <v>56</v>
      </c>
      <c r="I1523" s="923" t="s">
        <v>1236</v>
      </c>
      <c r="J1523" s="923" t="s">
        <v>1237</v>
      </c>
      <c r="K1523" s="924">
        <v>8340</v>
      </c>
      <c r="L1523" s="925">
        <v>1057125000</v>
      </c>
      <c r="M1523" s="922">
        <v>1240</v>
      </c>
      <c r="N1523" s="926">
        <v>195259000</v>
      </c>
      <c r="O1523" s="927">
        <v>1600</v>
      </c>
      <c r="P1523" s="928">
        <v>151704986</v>
      </c>
      <c r="Q1523" s="922">
        <v>1056</v>
      </c>
      <c r="R1523" s="931">
        <v>56963000</v>
      </c>
      <c r="S1523" s="922"/>
      <c r="T1523" s="922"/>
      <c r="U1523" s="922"/>
      <c r="V1523" s="922"/>
      <c r="W1523" s="922"/>
      <c r="X1523" s="922"/>
      <c r="Y1523" s="929">
        <f t="shared" ref="Y1523:Z1527" si="426">Q1523</f>
        <v>1056</v>
      </c>
      <c r="Z1523" s="930">
        <f t="shared" si="426"/>
        <v>56963000</v>
      </c>
      <c r="AA1523" s="922">
        <f t="shared" si="424"/>
        <v>2296</v>
      </c>
      <c r="AB1523" s="931">
        <f t="shared" si="424"/>
        <v>252222000</v>
      </c>
      <c r="AC1523" s="932">
        <f t="shared" si="425"/>
        <v>27.529976019184655</v>
      </c>
      <c r="AD1523" s="933">
        <f t="shared" si="425"/>
        <v>23.859240865555162</v>
      </c>
      <c r="AE1523" s="922" t="s">
        <v>1232</v>
      </c>
    </row>
    <row r="1524" spans="1:31" s="934" customFormat="1" ht="92.25" customHeight="1">
      <c r="A1524" s="987"/>
      <c r="B1524" s="987"/>
      <c r="C1524" s="935">
        <v>3</v>
      </c>
      <c r="D1524" s="936" t="s">
        <v>107</v>
      </c>
      <c r="E1524" s="936" t="s">
        <v>95</v>
      </c>
      <c r="F1524" s="936" t="s">
        <v>66</v>
      </c>
      <c r="G1524" s="936">
        <v>31</v>
      </c>
      <c r="H1524" s="922">
        <v>37</v>
      </c>
      <c r="I1524" s="923" t="s">
        <v>1238</v>
      </c>
      <c r="J1524" s="923" t="s">
        <v>1239</v>
      </c>
      <c r="K1524" s="924">
        <v>1257</v>
      </c>
      <c r="L1524" s="925">
        <v>473851000</v>
      </c>
      <c r="M1524" s="924">
        <v>208</v>
      </c>
      <c r="N1524" s="926">
        <v>83148000</v>
      </c>
      <c r="O1524" s="927">
        <v>200</v>
      </c>
      <c r="P1524" s="928">
        <v>43401950</v>
      </c>
      <c r="Q1524" s="924">
        <v>49</v>
      </c>
      <c r="R1524" s="925">
        <v>1554000</v>
      </c>
      <c r="S1524" s="922"/>
      <c r="T1524" s="922"/>
      <c r="U1524" s="922"/>
      <c r="V1524" s="922"/>
      <c r="W1524" s="922"/>
      <c r="X1524" s="922"/>
      <c r="Y1524" s="929">
        <f t="shared" si="426"/>
        <v>49</v>
      </c>
      <c r="Z1524" s="930">
        <f t="shared" si="426"/>
        <v>1554000</v>
      </c>
      <c r="AA1524" s="922">
        <f t="shared" si="424"/>
        <v>257</v>
      </c>
      <c r="AB1524" s="931">
        <f t="shared" si="424"/>
        <v>84702000</v>
      </c>
      <c r="AC1524" s="933">
        <f t="shared" si="425"/>
        <v>20.445505171042164</v>
      </c>
      <c r="AD1524" s="933">
        <f t="shared" si="425"/>
        <v>17.875239262975072</v>
      </c>
      <c r="AE1524" s="922" t="s">
        <v>1232</v>
      </c>
    </row>
    <row r="1525" spans="1:31" s="934" customFormat="1" ht="76.5" customHeight="1">
      <c r="A1525" s="987"/>
      <c r="B1525" s="987"/>
      <c r="C1525" s="935">
        <v>3</v>
      </c>
      <c r="D1525" s="936" t="s">
        <v>107</v>
      </c>
      <c r="E1525" s="936" t="s">
        <v>95</v>
      </c>
      <c r="F1525" s="936" t="s">
        <v>66</v>
      </c>
      <c r="G1525" s="936">
        <v>31</v>
      </c>
      <c r="H1525" s="922">
        <v>53</v>
      </c>
      <c r="I1525" s="923" t="s">
        <v>1240</v>
      </c>
      <c r="J1525" s="923" t="s">
        <v>1241</v>
      </c>
      <c r="K1525" s="922">
        <v>405</v>
      </c>
      <c r="L1525" s="925">
        <v>297969000</v>
      </c>
      <c r="M1525" s="922">
        <v>0</v>
      </c>
      <c r="N1525" s="937">
        <v>0</v>
      </c>
      <c r="O1525" s="927">
        <v>105</v>
      </c>
      <c r="P1525" s="928">
        <v>72969600</v>
      </c>
      <c r="Q1525" s="922">
        <v>86</v>
      </c>
      <c r="R1525" s="931">
        <v>21790000</v>
      </c>
      <c r="S1525" s="922"/>
      <c r="T1525" s="922"/>
      <c r="U1525" s="922"/>
      <c r="V1525" s="922"/>
      <c r="W1525" s="922"/>
      <c r="X1525" s="922"/>
      <c r="Y1525" s="929">
        <f t="shared" si="426"/>
        <v>86</v>
      </c>
      <c r="Z1525" s="930">
        <f t="shared" si="426"/>
        <v>21790000</v>
      </c>
      <c r="AA1525" s="922">
        <f t="shared" si="424"/>
        <v>86</v>
      </c>
      <c r="AB1525" s="931">
        <f t="shared" si="424"/>
        <v>21790000</v>
      </c>
      <c r="AC1525" s="933">
        <f t="shared" si="425"/>
        <v>21.23456790123457</v>
      </c>
      <c r="AD1525" s="933">
        <f t="shared" si="425"/>
        <v>7.3128412687225852</v>
      </c>
      <c r="AE1525" s="922" t="s">
        <v>1232</v>
      </c>
    </row>
    <row r="1526" spans="1:31" s="934" customFormat="1" ht="78" customHeight="1">
      <c r="A1526" s="987"/>
      <c r="B1526" s="987"/>
      <c r="C1526" s="935">
        <v>3</v>
      </c>
      <c r="D1526" s="936" t="s">
        <v>107</v>
      </c>
      <c r="E1526" s="936" t="s">
        <v>95</v>
      </c>
      <c r="F1526" s="936" t="s">
        <v>66</v>
      </c>
      <c r="G1526" s="936">
        <v>31</v>
      </c>
      <c r="H1526" s="938">
        <v>22</v>
      </c>
      <c r="I1526" s="923" t="s">
        <v>1242</v>
      </c>
      <c r="J1526" s="923" t="s">
        <v>1243</v>
      </c>
      <c r="K1526" s="922">
        <f>462+448+300+300+300+300</f>
        <v>2110</v>
      </c>
      <c r="L1526" s="925">
        <v>225596000</v>
      </c>
      <c r="M1526" s="922">
        <v>448</v>
      </c>
      <c r="N1526" s="926">
        <v>48135000</v>
      </c>
      <c r="O1526" s="927">
        <v>200</v>
      </c>
      <c r="P1526" s="928">
        <v>34168100</v>
      </c>
      <c r="Q1526" s="922">
        <v>244</v>
      </c>
      <c r="R1526" s="925">
        <v>11883000</v>
      </c>
      <c r="S1526" s="922"/>
      <c r="T1526" s="922"/>
      <c r="U1526" s="922"/>
      <c r="V1526" s="922"/>
      <c r="W1526" s="922"/>
      <c r="X1526" s="922"/>
      <c r="Y1526" s="929">
        <f t="shared" si="426"/>
        <v>244</v>
      </c>
      <c r="Z1526" s="930">
        <f t="shared" si="426"/>
        <v>11883000</v>
      </c>
      <c r="AA1526" s="922">
        <f t="shared" si="424"/>
        <v>692</v>
      </c>
      <c r="AB1526" s="931">
        <f t="shared" si="424"/>
        <v>60018000</v>
      </c>
      <c r="AC1526" s="933">
        <f t="shared" si="425"/>
        <v>32.796208530805686</v>
      </c>
      <c r="AD1526" s="933">
        <f t="shared" si="425"/>
        <v>26.604195109842372</v>
      </c>
      <c r="AE1526" s="922" t="s">
        <v>1232</v>
      </c>
    </row>
    <row r="1527" spans="1:31" s="934" customFormat="1" ht="136.5" customHeight="1">
      <c r="A1527" s="987"/>
      <c r="B1527" s="987"/>
      <c r="C1527" s="935">
        <v>3</v>
      </c>
      <c r="D1527" s="936" t="s">
        <v>107</v>
      </c>
      <c r="E1527" s="936" t="s">
        <v>95</v>
      </c>
      <c r="F1527" s="936" t="s">
        <v>66</v>
      </c>
      <c r="G1527" s="936">
        <v>31</v>
      </c>
      <c r="H1527" s="922">
        <v>28</v>
      </c>
      <c r="I1527" s="923" t="s">
        <v>1244</v>
      </c>
      <c r="J1527" s="923" t="s">
        <v>1245</v>
      </c>
      <c r="K1527" s="922">
        <f>875+946+950+950+950+950</f>
        <v>5621</v>
      </c>
      <c r="L1527" s="925">
        <v>210809000</v>
      </c>
      <c r="M1527" s="922">
        <v>946</v>
      </c>
      <c r="N1527" s="926">
        <v>30368000</v>
      </c>
      <c r="O1527" s="927">
        <v>1050</v>
      </c>
      <c r="P1527" s="928">
        <v>17289100</v>
      </c>
      <c r="Q1527" s="922">
        <v>493</v>
      </c>
      <c r="R1527" s="925">
        <v>863000</v>
      </c>
      <c r="S1527" s="922"/>
      <c r="T1527" s="922"/>
      <c r="U1527" s="922"/>
      <c r="V1527" s="922"/>
      <c r="W1527" s="922"/>
      <c r="X1527" s="922"/>
      <c r="Y1527" s="929">
        <f t="shared" si="426"/>
        <v>493</v>
      </c>
      <c r="Z1527" s="930">
        <f t="shared" si="426"/>
        <v>863000</v>
      </c>
      <c r="AA1527" s="922">
        <f t="shared" si="424"/>
        <v>1439</v>
      </c>
      <c r="AB1527" s="931">
        <f t="shared" si="424"/>
        <v>31231000</v>
      </c>
      <c r="AC1527" s="933">
        <f t="shared" si="425"/>
        <v>25.600426970289984</v>
      </c>
      <c r="AD1527" s="933">
        <f t="shared" si="425"/>
        <v>14.814832383816631</v>
      </c>
      <c r="AE1527" s="922" t="s">
        <v>1232</v>
      </c>
    </row>
    <row r="1528" spans="1:31" s="934" customFormat="1" ht="34.5" customHeight="1">
      <c r="A1528" s="968">
        <v>2</v>
      </c>
      <c r="B1528" s="940"/>
      <c r="C1528" s="941">
        <v>3</v>
      </c>
      <c r="D1528" s="942" t="s">
        <v>107</v>
      </c>
      <c r="E1528" s="942" t="s">
        <v>95</v>
      </c>
      <c r="F1528" s="942" t="s">
        <v>66</v>
      </c>
      <c r="G1528" s="942">
        <v>31</v>
      </c>
      <c r="H1528" s="943"/>
      <c r="I1528" s="2606" t="s">
        <v>1246</v>
      </c>
      <c r="J1528" s="2607"/>
      <c r="K1528" s="941">
        <f>SUM(K1529:K1539)</f>
        <v>17669</v>
      </c>
      <c r="L1528" s="944">
        <f t="shared" ref="L1528:AB1528" si="427">SUM(L1529:L1539)</f>
        <v>7053369000</v>
      </c>
      <c r="M1528" s="941">
        <f t="shared" si="427"/>
        <v>6140</v>
      </c>
      <c r="N1528" s="944">
        <f t="shared" si="427"/>
        <v>2334249092</v>
      </c>
      <c r="O1528" s="941">
        <f t="shared" si="427"/>
        <v>2548</v>
      </c>
      <c r="P1528" s="944">
        <f t="shared" si="427"/>
        <v>980455062</v>
      </c>
      <c r="Q1528" s="941">
        <f t="shared" si="427"/>
        <v>1850</v>
      </c>
      <c r="R1528" s="944">
        <f t="shared" si="427"/>
        <v>220317969</v>
      </c>
      <c r="S1528" s="941"/>
      <c r="T1528" s="941"/>
      <c r="U1528" s="941"/>
      <c r="V1528" s="941"/>
      <c r="W1528" s="941"/>
      <c r="X1528" s="941"/>
      <c r="Y1528" s="941">
        <f t="shared" si="427"/>
        <v>1850</v>
      </c>
      <c r="Z1528" s="944">
        <f t="shared" si="427"/>
        <v>220317969</v>
      </c>
      <c r="AA1528" s="941">
        <f t="shared" si="427"/>
        <v>7990</v>
      </c>
      <c r="AB1528" s="944">
        <f t="shared" si="427"/>
        <v>2554567061</v>
      </c>
      <c r="AC1528" s="945"/>
      <c r="AD1528" s="945"/>
      <c r="AE1528" s="946" t="s">
        <v>1232</v>
      </c>
    </row>
    <row r="1529" spans="1:31" s="934" customFormat="1" ht="75.75" customHeight="1">
      <c r="A1529" s="987"/>
      <c r="B1529" s="987" t="s">
        <v>1247</v>
      </c>
      <c r="C1529" s="935">
        <v>3</v>
      </c>
      <c r="D1529" s="936" t="s">
        <v>107</v>
      </c>
      <c r="E1529" s="936" t="s">
        <v>95</v>
      </c>
      <c r="F1529" s="936" t="s">
        <v>66</v>
      </c>
      <c r="G1529" s="936">
        <v>31</v>
      </c>
      <c r="H1529" s="938" t="s">
        <v>65</v>
      </c>
      <c r="I1529" s="947" t="s">
        <v>1248</v>
      </c>
      <c r="J1529" s="947" t="s">
        <v>1249</v>
      </c>
      <c r="K1529" s="948">
        <v>1004</v>
      </c>
      <c r="L1529" s="949">
        <v>770850000</v>
      </c>
      <c r="M1529" s="950">
        <v>204</v>
      </c>
      <c r="N1529" s="926">
        <v>171113600</v>
      </c>
      <c r="O1529" s="927">
        <v>200</v>
      </c>
      <c r="P1529" s="930">
        <v>106218674</v>
      </c>
      <c r="Q1529" s="922">
        <v>0</v>
      </c>
      <c r="R1529" s="930">
        <v>1899669</v>
      </c>
      <c r="S1529" s="922"/>
      <c r="T1529" s="922"/>
      <c r="U1529" s="922"/>
      <c r="V1529" s="922"/>
      <c r="W1529" s="922"/>
      <c r="X1529" s="922"/>
      <c r="Y1529" s="922">
        <f>Q1529</f>
        <v>0</v>
      </c>
      <c r="Z1529" s="930">
        <f>R1529</f>
        <v>1899669</v>
      </c>
      <c r="AA1529" s="922">
        <f t="shared" si="424"/>
        <v>204</v>
      </c>
      <c r="AB1529" s="931">
        <f t="shared" si="424"/>
        <v>173013269</v>
      </c>
      <c r="AC1529" s="933">
        <f t="shared" ref="AC1529:AD1544" si="428">(AA1529/K1529)*100</f>
        <v>20.318725099601593</v>
      </c>
      <c r="AD1529" s="933">
        <f t="shared" si="425"/>
        <v>22.444479340987222</v>
      </c>
      <c r="AE1529" s="922" t="s">
        <v>1232</v>
      </c>
    </row>
    <row r="1530" spans="1:31" s="934" customFormat="1" ht="92.25" customHeight="1">
      <c r="A1530" s="987"/>
      <c r="B1530" s="987"/>
      <c r="C1530" s="935">
        <v>3</v>
      </c>
      <c r="D1530" s="936" t="s">
        <v>107</v>
      </c>
      <c r="E1530" s="936" t="s">
        <v>95</v>
      </c>
      <c r="F1530" s="936" t="s">
        <v>66</v>
      </c>
      <c r="G1530" s="936">
        <v>31</v>
      </c>
      <c r="H1530" s="922">
        <v>11</v>
      </c>
      <c r="I1530" s="947" t="s">
        <v>1250</v>
      </c>
      <c r="J1530" s="951" t="s">
        <v>1251</v>
      </c>
      <c r="K1530" s="952">
        <v>390</v>
      </c>
      <c r="L1530" s="953">
        <v>2283364000</v>
      </c>
      <c r="M1530" s="950">
        <v>173</v>
      </c>
      <c r="N1530" s="926">
        <v>839987584</v>
      </c>
      <c r="O1530" s="927">
        <v>20</v>
      </c>
      <c r="P1530" s="928">
        <v>188593300</v>
      </c>
      <c r="Q1530" s="927">
        <v>6</v>
      </c>
      <c r="R1530" s="928">
        <v>22250000</v>
      </c>
      <c r="S1530" s="922"/>
      <c r="T1530" s="922"/>
      <c r="U1530" s="922"/>
      <c r="V1530" s="922"/>
      <c r="W1530" s="922"/>
      <c r="X1530" s="922"/>
      <c r="Y1530" s="922">
        <f t="shared" ref="Y1530:Z1539" si="429">Q1530</f>
        <v>6</v>
      </c>
      <c r="Z1530" s="930">
        <f t="shared" si="429"/>
        <v>22250000</v>
      </c>
      <c r="AA1530" s="922">
        <f t="shared" si="424"/>
        <v>179</v>
      </c>
      <c r="AB1530" s="931">
        <f t="shared" si="424"/>
        <v>862237584</v>
      </c>
      <c r="AC1530" s="933">
        <f t="shared" si="428"/>
        <v>45.897435897435898</v>
      </c>
      <c r="AD1530" s="933">
        <f t="shared" si="425"/>
        <v>37.761722791460315</v>
      </c>
      <c r="AE1530" s="922" t="s">
        <v>1232</v>
      </c>
    </row>
    <row r="1531" spans="1:31" s="934" customFormat="1" ht="105.75" customHeight="1">
      <c r="A1531" s="987"/>
      <c r="B1531" s="987"/>
      <c r="C1531" s="935">
        <v>3</v>
      </c>
      <c r="D1531" s="936" t="s">
        <v>107</v>
      </c>
      <c r="E1531" s="936" t="s">
        <v>95</v>
      </c>
      <c r="F1531" s="936" t="s">
        <v>66</v>
      </c>
      <c r="G1531" s="936">
        <v>31</v>
      </c>
      <c r="H1531" s="922">
        <v>26</v>
      </c>
      <c r="I1531" s="947" t="s">
        <v>1252</v>
      </c>
      <c r="J1531" s="947" t="s">
        <v>1253</v>
      </c>
      <c r="K1531" s="954">
        <v>56</v>
      </c>
      <c r="L1531" s="953">
        <v>313969000</v>
      </c>
      <c r="M1531" s="950">
        <v>137</v>
      </c>
      <c r="N1531" s="926">
        <v>111369144</v>
      </c>
      <c r="O1531" s="927">
        <v>12</v>
      </c>
      <c r="P1531" s="928">
        <v>74830900</v>
      </c>
      <c r="Q1531" s="929">
        <v>8</v>
      </c>
      <c r="R1531" s="930">
        <v>21405200</v>
      </c>
      <c r="S1531" s="922"/>
      <c r="T1531" s="922"/>
      <c r="U1531" s="922"/>
      <c r="V1531" s="922"/>
      <c r="W1531" s="922"/>
      <c r="X1531" s="922"/>
      <c r="Y1531" s="922">
        <f t="shared" si="429"/>
        <v>8</v>
      </c>
      <c r="Z1531" s="930">
        <f t="shared" si="429"/>
        <v>21405200</v>
      </c>
      <c r="AA1531" s="922">
        <f t="shared" si="424"/>
        <v>145</v>
      </c>
      <c r="AB1531" s="931">
        <f t="shared" si="424"/>
        <v>132774344</v>
      </c>
      <c r="AC1531" s="933">
        <f t="shared" si="428"/>
        <v>258.92857142857144</v>
      </c>
      <c r="AD1531" s="933">
        <f t="shared" si="425"/>
        <v>42.288997958397168</v>
      </c>
      <c r="AE1531" s="922" t="s">
        <v>1232</v>
      </c>
    </row>
    <row r="1532" spans="1:31" s="934" customFormat="1" ht="92.25" customHeight="1">
      <c r="A1532" s="987"/>
      <c r="B1532" s="987"/>
      <c r="C1532" s="935">
        <v>3</v>
      </c>
      <c r="D1532" s="936" t="s">
        <v>107</v>
      </c>
      <c r="E1532" s="936" t="s">
        <v>95</v>
      </c>
      <c r="F1532" s="936" t="s">
        <v>66</v>
      </c>
      <c r="G1532" s="936">
        <v>31</v>
      </c>
      <c r="H1532" s="922">
        <v>49</v>
      </c>
      <c r="I1532" s="947" t="s">
        <v>1254</v>
      </c>
      <c r="J1532" s="947" t="s">
        <v>1255</v>
      </c>
      <c r="K1532" s="927">
        <v>53</v>
      </c>
      <c r="L1532" s="925">
        <v>176623000</v>
      </c>
      <c r="M1532" s="922">
        <v>5</v>
      </c>
      <c r="N1532" s="926">
        <v>31189500</v>
      </c>
      <c r="O1532" s="927">
        <v>12</v>
      </c>
      <c r="P1532" s="928">
        <v>36358150</v>
      </c>
      <c r="Q1532" s="929">
        <v>5</v>
      </c>
      <c r="R1532" s="930">
        <v>10477100</v>
      </c>
      <c r="S1532" s="922"/>
      <c r="T1532" s="922"/>
      <c r="U1532" s="922"/>
      <c r="V1532" s="922"/>
      <c r="W1532" s="922"/>
      <c r="X1532" s="922"/>
      <c r="Y1532" s="922">
        <f t="shared" si="429"/>
        <v>5</v>
      </c>
      <c r="Z1532" s="930">
        <f t="shared" si="429"/>
        <v>10477100</v>
      </c>
      <c r="AA1532" s="922">
        <f t="shared" si="424"/>
        <v>10</v>
      </c>
      <c r="AB1532" s="931">
        <f t="shared" si="424"/>
        <v>41666600</v>
      </c>
      <c r="AC1532" s="933">
        <f t="shared" si="428"/>
        <v>18.867924528301888</v>
      </c>
      <c r="AD1532" s="933">
        <f t="shared" si="425"/>
        <v>23.590698833107808</v>
      </c>
      <c r="AE1532" s="922" t="s">
        <v>1232</v>
      </c>
    </row>
    <row r="1533" spans="1:31" s="934" customFormat="1" ht="63" customHeight="1">
      <c r="A1533" s="987"/>
      <c r="B1533" s="987"/>
      <c r="C1533" s="935">
        <v>3</v>
      </c>
      <c r="D1533" s="936" t="s">
        <v>107</v>
      </c>
      <c r="E1533" s="936" t="s">
        <v>95</v>
      </c>
      <c r="F1533" s="936" t="s">
        <v>66</v>
      </c>
      <c r="G1533" s="936">
        <v>31</v>
      </c>
      <c r="H1533" s="922">
        <v>35</v>
      </c>
      <c r="I1533" s="947" t="s">
        <v>1256</v>
      </c>
      <c r="J1533" s="947" t="s">
        <v>1257</v>
      </c>
      <c r="K1533" s="955">
        <v>235</v>
      </c>
      <c r="L1533" s="925">
        <v>1131798000</v>
      </c>
      <c r="M1533" s="922">
        <v>73</v>
      </c>
      <c r="N1533" s="926">
        <v>258321000</v>
      </c>
      <c r="O1533" s="927">
        <v>27</v>
      </c>
      <c r="P1533" s="928">
        <v>213476300</v>
      </c>
      <c r="Q1533" s="929">
        <v>27</v>
      </c>
      <c r="R1533" s="930">
        <v>116042840</v>
      </c>
      <c r="S1533" s="922"/>
      <c r="T1533" s="922"/>
      <c r="U1533" s="922"/>
      <c r="V1533" s="922"/>
      <c r="W1533" s="922"/>
      <c r="X1533" s="922"/>
      <c r="Y1533" s="922">
        <f t="shared" si="429"/>
        <v>27</v>
      </c>
      <c r="Z1533" s="930">
        <f t="shared" si="429"/>
        <v>116042840</v>
      </c>
      <c r="AA1533" s="922">
        <f t="shared" si="424"/>
        <v>100</v>
      </c>
      <c r="AB1533" s="931">
        <f t="shared" si="424"/>
        <v>374363840</v>
      </c>
      <c r="AC1533" s="933">
        <f t="shared" si="428"/>
        <v>42.553191489361701</v>
      </c>
      <c r="AD1533" s="933">
        <f t="shared" si="425"/>
        <v>33.076913018047385</v>
      </c>
      <c r="AE1533" s="922" t="s">
        <v>1232</v>
      </c>
    </row>
    <row r="1534" spans="1:31" s="934" customFormat="1" ht="75" customHeight="1">
      <c r="A1534" s="987"/>
      <c r="B1534" s="987"/>
      <c r="C1534" s="935">
        <v>3</v>
      </c>
      <c r="D1534" s="936" t="s">
        <v>107</v>
      </c>
      <c r="E1534" s="936" t="s">
        <v>95</v>
      </c>
      <c r="F1534" s="936" t="s">
        <v>66</v>
      </c>
      <c r="G1534" s="936">
        <v>31</v>
      </c>
      <c r="H1534" s="922">
        <v>25</v>
      </c>
      <c r="I1534" s="947" t="s">
        <v>1258</v>
      </c>
      <c r="J1534" s="947" t="s">
        <v>1259</v>
      </c>
      <c r="K1534" s="956">
        <v>34</v>
      </c>
      <c r="L1534" s="957">
        <v>231324000</v>
      </c>
      <c r="M1534" s="950">
        <v>10</v>
      </c>
      <c r="N1534" s="926">
        <v>76602682</v>
      </c>
      <c r="O1534" s="929">
        <v>6</v>
      </c>
      <c r="P1534" s="930">
        <v>39717850</v>
      </c>
      <c r="Q1534" s="929">
        <v>2</v>
      </c>
      <c r="R1534" s="928">
        <v>10200000</v>
      </c>
      <c r="S1534" s="922"/>
      <c r="T1534" s="922"/>
      <c r="U1534" s="922"/>
      <c r="V1534" s="922"/>
      <c r="W1534" s="922"/>
      <c r="X1534" s="922"/>
      <c r="Y1534" s="922">
        <f t="shared" si="429"/>
        <v>2</v>
      </c>
      <c r="Z1534" s="930">
        <f t="shared" si="429"/>
        <v>10200000</v>
      </c>
      <c r="AA1534" s="922">
        <f t="shared" si="424"/>
        <v>12</v>
      </c>
      <c r="AB1534" s="931">
        <f t="shared" si="424"/>
        <v>86802682</v>
      </c>
      <c r="AC1534" s="933">
        <f t="shared" si="428"/>
        <v>35.294117647058826</v>
      </c>
      <c r="AD1534" s="933">
        <f t="shared" si="425"/>
        <v>37.52428714703187</v>
      </c>
      <c r="AE1534" s="922" t="s">
        <v>1232</v>
      </c>
    </row>
    <row r="1535" spans="1:31" s="934" customFormat="1" ht="119.25" customHeight="1">
      <c r="A1535" s="987"/>
      <c r="B1535" s="987"/>
      <c r="C1535" s="935">
        <v>3</v>
      </c>
      <c r="D1535" s="936" t="s">
        <v>107</v>
      </c>
      <c r="E1535" s="936" t="s">
        <v>95</v>
      </c>
      <c r="F1535" s="936" t="s">
        <v>66</v>
      </c>
      <c r="G1535" s="936">
        <v>31</v>
      </c>
      <c r="H1535" s="922">
        <v>40</v>
      </c>
      <c r="I1535" s="947" t="s">
        <v>1260</v>
      </c>
      <c r="J1535" s="947" t="s">
        <v>1261</v>
      </c>
      <c r="K1535" s="958">
        <v>1050</v>
      </c>
      <c r="L1535" s="957">
        <v>135000000</v>
      </c>
      <c r="M1535" s="950">
        <v>297</v>
      </c>
      <c r="N1535" s="926">
        <v>81807412</v>
      </c>
      <c r="O1535" s="927">
        <v>150</v>
      </c>
      <c r="P1535" s="928">
        <v>41228168</v>
      </c>
      <c r="Q1535" s="929">
        <v>127</v>
      </c>
      <c r="R1535" s="930">
        <v>1500000</v>
      </c>
      <c r="S1535" s="922"/>
      <c r="T1535" s="922"/>
      <c r="U1535" s="922"/>
      <c r="V1535" s="922"/>
      <c r="W1535" s="922"/>
      <c r="X1535" s="922"/>
      <c r="Y1535" s="922">
        <f t="shared" si="429"/>
        <v>127</v>
      </c>
      <c r="Z1535" s="930">
        <f t="shared" si="429"/>
        <v>1500000</v>
      </c>
      <c r="AA1535" s="922">
        <f t="shared" si="424"/>
        <v>424</v>
      </c>
      <c r="AB1535" s="931">
        <f t="shared" si="424"/>
        <v>83307412</v>
      </c>
      <c r="AC1535" s="933">
        <f t="shared" si="428"/>
        <v>40.38095238095238</v>
      </c>
      <c r="AD1535" s="933">
        <f t="shared" si="425"/>
        <v>61.70919407407407</v>
      </c>
      <c r="AE1535" s="922" t="s">
        <v>1232</v>
      </c>
    </row>
    <row r="1536" spans="1:31" s="934" customFormat="1" ht="61.5" customHeight="1">
      <c r="A1536" s="987"/>
      <c r="B1536" s="987"/>
      <c r="C1536" s="935">
        <v>3</v>
      </c>
      <c r="D1536" s="936" t="s">
        <v>107</v>
      </c>
      <c r="E1536" s="936" t="s">
        <v>95</v>
      </c>
      <c r="F1536" s="936" t="s">
        <v>66</v>
      </c>
      <c r="G1536" s="936">
        <v>31</v>
      </c>
      <c r="H1536" s="922">
        <v>16</v>
      </c>
      <c r="I1536" s="947" t="s">
        <v>1262</v>
      </c>
      <c r="J1536" s="947" t="s">
        <v>1263</v>
      </c>
      <c r="K1536" s="959">
        <v>12216</v>
      </c>
      <c r="L1536" s="925">
        <v>518711000</v>
      </c>
      <c r="M1536" s="922">
        <v>4220</v>
      </c>
      <c r="N1536" s="926">
        <v>210269559</v>
      </c>
      <c r="O1536" s="927">
        <v>1666</v>
      </c>
      <c r="P1536" s="928">
        <v>77149870</v>
      </c>
      <c r="Q1536" s="929">
        <v>1666</v>
      </c>
      <c r="R1536" s="928">
        <v>29852910</v>
      </c>
      <c r="S1536" s="922"/>
      <c r="T1536" s="922"/>
      <c r="U1536" s="922"/>
      <c r="V1536" s="922"/>
      <c r="W1536" s="922"/>
      <c r="X1536" s="922"/>
      <c r="Y1536" s="922">
        <f t="shared" si="429"/>
        <v>1666</v>
      </c>
      <c r="Z1536" s="930">
        <f t="shared" si="429"/>
        <v>29852910</v>
      </c>
      <c r="AA1536" s="922">
        <f t="shared" si="424"/>
        <v>5886</v>
      </c>
      <c r="AB1536" s="931">
        <f t="shared" si="424"/>
        <v>240122469</v>
      </c>
      <c r="AC1536" s="933">
        <f t="shared" si="428"/>
        <v>48.182711198428294</v>
      </c>
      <c r="AD1536" s="933">
        <f t="shared" si="425"/>
        <v>46.292149000117597</v>
      </c>
      <c r="AE1536" s="922" t="s">
        <v>1232</v>
      </c>
    </row>
    <row r="1537" spans="1:31" s="934" customFormat="1" ht="105.75" customHeight="1">
      <c r="A1537" s="987"/>
      <c r="B1537" s="987"/>
      <c r="C1537" s="935">
        <v>3</v>
      </c>
      <c r="D1537" s="936" t="s">
        <v>107</v>
      </c>
      <c r="E1537" s="936" t="s">
        <v>95</v>
      </c>
      <c r="F1537" s="936" t="s">
        <v>66</v>
      </c>
      <c r="G1537" s="936">
        <v>31</v>
      </c>
      <c r="H1537" s="922">
        <v>36</v>
      </c>
      <c r="I1537" s="947" t="s">
        <v>1264</v>
      </c>
      <c r="J1537" s="947" t="s">
        <v>1265</v>
      </c>
      <c r="K1537" s="927">
        <v>766</v>
      </c>
      <c r="L1537" s="925">
        <v>210735000</v>
      </c>
      <c r="M1537" s="922">
        <v>161</v>
      </c>
      <c r="N1537" s="926">
        <v>45402090</v>
      </c>
      <c r="O1537" s="927">
        <v>200</v>
      </c>
      <c r="P1537" s="928">
        <v>30072500</v>
      </c>
      <c r="Q1537" s="922">
        <v>0</v>
      </c>
      <c r="R1537" s="930">
        <v>3290750</v>
      </c>
      <c r="S1537" s="922"/>
      <c r="T1537" s="922"/>
      <c r="U1537" s="922"/>
      <c r="V1537" s="922"/>
      <c r="W1537" s="922"/>
      <c r="X1537" s="922"/>
      <c r="Y1537" s="922">
        <f t="shared" si="429"/>
        <v>0</v>
      </c>
      <c r="Z1537" s="930">
        <f t="shared" si="429"/>
        <v>3290750</v>
      </c>
      <c r="AA1537" s="922">
        <f t="shared" si="424"/>
        <v>161</v>
      </c>
      <c r="AB1537" s="931">
        <f t="shared" si="424"/>
        <v>48692840</v>
      </c>
      <c r="AC1537" s="933">
        <f t="shared" si="428"/>
        <v>21.018276762402088</v>
      </c>
      <c r="AD1537" s="933">
        <f t="shared" si="428"/>
        <v>23.10619498422189</v>
      </c>
      <c r="AE1537" s="922" t="s">
        <v>1232</v>
      </c>
    </row>
    <row r="1538" spans="1:31" s="934" customFormat="1" ht="120" customHeight="1">
      <c r="A1538" s="987"/>
      <c r="B1538" s="987"/>
      <c r="C1538" s="935">
        <v>3</v>
      </c>
      <c r="D1538" s="936" t="s">
        <v>107</v>
      </c>
      <c r="E1538" s="936" t="s">
        <v>95</v>
      </c>
      <c r="F1538" s="936" t="s">
        <v>66</v>
      </c>
      <c r="G1538" s="936">
        <v>31</v>
      </c>
      <c r="H1538" s="922">
        <v>39</v>
      </c>
      <c r="I1538" s="947" t="s">
        <v>1266</v>
      </c>
      <c r="J1538" s="947" t="s">
        <v>1267</v>
      </c>
      <c r="K1538" s="924">
        <v>237</v>
      </c>
      <c r="L1538" s="925">
        <v>213661000</v>
      </c>
      <c r="M1538" s="922">
        <v>57</v>
      </c>
      <c r="N1538" s="926">
        <v>44699340</v>
      </c>
      <c r="O1538" s="927">
        <v>30</v>
      </c>
      <c r="P1538" s="928">
        <v>18962800</v>
      </c>
      <c r="Q1538" s="929">
        <v>9</v>
      </c>
      <c r="R1538" s="930">
        <v>3399500</v>
      </c>
      <c r="S1538" s="922"/>
      <c r="T1538" s="922"/>
      <c r="U1538" s="922"/>
      <c r="V1538" s="922"/>
      <c r="W1538" s="922"/>
      <c r="X1538" s="922"/>
      <c r="Y1538" s="922">
        <f t="shared" si="429"/>
        <v>9</v>
      </c>
      <c r="Z1538" s="930">
        <f t="shared" si="429"/>
        <v>3399500</v>
      </c>
      <c r="AA1538" s="922">
        <f t="shared" ref="AA1538:AB1568" si="430">M1538+Y1538</f>
        <v>66</v>
      </c>
      <c r="AB1538" s="931">
        <f t="shared" si="430"/>
        <v>48098840</v>
      </c>
      <c r="AC1538" s="933">
        <f t="shared" si="428"/>
        <v>27.848101265822784</v>
      </c>
      <c r="AD1538" s="933">
        <f t="shared" si="428"/>
        <v>22.51175460191612</v>
      </c>
      <c r="AE1538" s="922" t="s">
        <v>1232</v>
      </c>
    </row>
    <row r="1539" spans="1:31" s="934" customFormat="1" ht="90.75" customHeight="1">
      <c r="A1539" s="987"/>
      <c r="B1539" s="987"/>
      <c r="C1539" s="935">
        <v>3</v>
      </c>
      <c r="D1539" s="936" t="s">
        <v>107</v>
      </c>
      <c r="E1539" s="936" t="s">
        <v>95</v>
      </c>
      <c r="F1539" s="936" t="s">
        <v>66</v>
      </c>
      <c r="G1539" s="936">
        <v>31</v>
      </c>
      <c r="H1539" s="922">
        <v>42</v>
      </c>
      <c r="I1539" s="947" t="s">
        <v>1268</v>
      </c>
      <c r="J1539" s="947" t="s">
        <v>1269</v>
      </c>
      <c r="K1539" s="927">
        <v>1628</v>
      </c>
      <c r="L1539" s="925">
        <v>1067334000</v>
      </c>
      <c r="M1539" s="922">
        <v>803</v>
      </c>
      <c r="N1539" s="926">
        <v>463487181</v>
      </c>
      <c r="O1539" s="927">
        <v>225</v>
      </c>
      <c r="P1539" s="928">
        <v>153846550</v>
      </c>
      <c r="Q1539" s="922">
        <v>0</v>
      </c>
      <c r="R1539" s="925">
        <v>0</v>
      </c>
      <c r="S1539" s="922"/>
      <c r="T1539" s="922"/>
      <c r="U1539" s="922"/>
      <c r="V1539" s="922"/>
      <c r="W1539" s="922"/>
      <c r="X1539" s="922"/>
      <c r="Y1539" s="922">
        <f t="shared" si="429"/>
        <v>0</v>
      </c>
      <c r="Z1539" s="930">
        <f t="shared" si="429"/>
        <v>0</v>
      </c>
      <c r="AA1539" s="922">
        <f t="shared" si="430"/>
        <v>803</v>
      </c>
      <c r="AB1539" s="931">
        <f t="shared" si="430"/>
        <v>463487181</v>
      </c>
      <c r="AC1539" s="933">
        <f t="shared" si="428"/>
        <v>49.324324324324323</v>
      </c>
      <c r="AD1539" s="933">
        <f t="shared" si="428"/>
        <v>43.424755606023979</v>
      </c>
      <c r="AE1539" s="922" t="s">
        <v>1232</v>
      </c>
    </row>
    <row r="1540" spans="1:31" s="934" customFormat="1" ht="22.5" customHeight="1">
      <c r="A1540" s="968">
        <v>3</v>
      </c>
      <c r="B1540" s="960"/>
      <c r="C1540" s="961">
        <v>3</v>
      </c>
      <c r="D1540" s="962" t="s">
        <v>107</v>
      </c>
      <c r="E1540" s="942" t="s">
        <v>95</v>
      </c>
      <c r="F1540" s="962" t="s">
        <v>66</v>
      </c>
      <c r="G1540" s="961">
        <v>29</v>
      </c>
      <c r="H1540" s="943"/>
      <c r="I1540" s="2606" t="s">
        <v>1270</v>
      </c>
      <c r="J1540" s="2607"/>
      <c r="K1540" s="941">
        <f>SUM(K1541:K1544)</f>
        <v>1032</v>
      </c>
      <c r="L1540" s="944">
        <f t="shared" ref="L1540:R1540" si="431">SUM(L1541:L1544)</f>
        <v>9060887000</v>
      </c>
      <c r="M1540" s="941">
        <f t="shared" si="431"/>
        <v>220</v>
      </c>
      <c r="N1540" s="944">
        <f t="shared" si="431"/>
        <v>2538297846</v>
      </c>
      <c r="O1540" s="941">
        <f t="shared" si="431"/>
        <v>138</v>
      </c>
      <c r="P1540" s="944">
        <f t="shared" si="431"/>
        <v>1576003442</v>
      </c>
      <c r="Q1540" s="941">
        <f t="shared" si="431"/>
        <v>102</v>
      </c>
      <c r="R1540" s="944">
        <f t="shared" si="431"/>
        <v>274741831</v>
      </c>
      <c r="S1540" s="941"/>
      <c r="T1540" s="941"/>
      <c r="U1540" s="941"/>
      <c r="V1540" s="941"/>
      <c r="W1540" s="941"/>
      <c r="X1540" s="941"/>
      <c r="Y1540" s="941">
        <f>SUM(Y1541:Y1544)</f>
        <v>102</v>
      </c>
      <c r="Z1540" s="944">
        <f t="shared" ref="Z1540:AB1540" si="432">SUM(Z1541:Z1544)</f>
        <v>274741831</v>
      </c>
      <c r="AA1540" s="941">
        <f t="shared" si="432"/>
        <v>322</v>
      </c>
      <c r="AB1540" s="944">
        <f t="shared" si="432"/>
        <v>2813039677</v>
      </c>
      <c r="AC1540" s="945"/>
      <c r="AD1540" s="945"/>
      <c r="AE1540" s="946" t="s">
        <v>1232</v>
      </c>
    </row>
    <row r="1541" spans="1:31" s="934" customFormat="1" ht="76.5" customHeight="1">
      <c r="A1541" s="919"/>
      <c r="B1541" s="992" t="s">
        <v>1247</v>
      </c>
      <c r="C1541" s="963">
        <v>3</v>
      </c>
      <c r="D1541" s="964" t="s">
        <v>107</v>
      </c>
      <c r="E1541" s="936" t="s">
        <v>95</v>
      </c>
      <c r="F1541" s="964" t="s">
        <v>66</v>
      </c>
      <c r="G1541" s="963">
        <v>29</v>
      </c>
      <c r="H1541" s="938" t="s">
        <v>197</v>
      </c>
      <c r="I1541" s="965" t="s">
        <v>1271</v>
      </c>
      <c r="J1541" s="947" t="s">
        <v>1272</v>
      </c>
      <c r="K1541" s="924">
        <v>56</v>
      </c>
      <c r="L1541" s="925">
        <v>3490679000</v>
      </c>
      <c r="M1541" s="922">
        <v>20</v>
      </c>
      <c r="N1541" s="926">
        <v>1175626246</v>
      </c>
      <c r="O1541" s="922">
        <v>12</v>
      </c>
      <c r="P1541" s="928">
        <v>562932950</v>
      </c>
      <c r="Q1541" s="922">
        <v>6</v>
      </c>
      <c r="R1541" s="928">
        <v>10733000</v>
      </c>
      <c r="S1541" s="922"/>
      <c r="T1541" s="922"/>
      <c r="U1541" s="922"/>
      <c r="V1541" s="922"/>
      <c r="W1541" s="922"/>
      <c r="X1541" s="922"/>
      <c r="Y1541" s="922">
        <f>Q1541</f>
        <v>6</v>
      </c>
      <c r="Z1541" s="928">
        <f>R1541</f>
        <v>10733000</v>
      </c>
      <c r="AA1541" s="922">
        <f t="shared" si="430"/>
        <v>26</v>
      </c>
      <c r="AB1541" s="931">
        <f t="shared" si="430"/>
        <v>1186359246</v>
      </c>
      <c r="AC1541" s="933">
        <f>(AA1541/K1541)*100</f>
        <v>46.428571428571431</v>
      </c>
      <c r="AD1541" s="933">
        <f t="shared" si="428"/>
        <v>33.986489333450599</v>
      </c>
      <c r="AE1541" s="922" t="s">
        <v>1232</v>
      </c>
    </row>
    <row r="1542" spans="1:31" s="934" customFormat="1" ht="76.5" customHeight="1">
      <c r="A1542" s="987"/>
      <c r="B1542" s="987"/>
      <c r="C1542" s="963">
        <v>3</v>
      </c>
      <c r="D1542" s="964" t="s">
        <v>107</v>
      </c>
      <c r="E1542" s="936" t="s">
        <v>95</v>
      </c>
      <c r="F1542" s="964" t="s">
        <v>66</v>
      </c>
      <c r="G1542" s="963">
        <v>29</v>
      </c>
      <c r="H1542" s="938" t="s">
        <v>93</v>
      </c>
      <c r="I1542" s="965" t="s">
        <v>1273</v>
      </c>
      <c r="J1542" s="966" t="s">
        <v>1274</v>
      </c>
      <c r="K1542" s="927">
        <v>180</v>
      </c>
      <c r="L1542" s="925">
        <v>3346888000</v>
      </c>
      <c r="M1542" s="922">
        <v>60</v>
      </c>
      <c r="N1542" s="926">
        <v>998233000</v>
      </c>
      <c r="O1542" s="929">
        <v>30</v>
      </c>
      <c r="P1542" s="930">
        <v>703005450</v>
      </c>
      <c r="Q1542" s="929">
        <v>30</v>
      </c>
      <c r="R1542" s="930">
        <v>135472729</v>
      </c>
      <c r="S1542" s="922"/>
      <c r="T1542" s="922"/>
      <c r="U1542" s="922"/>
      <c r="V1542" s="922"/>
      <c r="W1542" s="922"/>
      <c r="X1542" s="922"/>
      <c r="Y1542" s="922">
        <f t="shared" ref="Y1542:Z1544" si="433">Q1542</f>
        <v>30</v>
      </c>
      <c r="Z1542" s="928">
        <f t="shared" si="433"/>
        <v>135472729</v>
      </c>
      <c r="AA1542" s="922">
        <f t="shared" si="430"/>
        <v>90</v>
      </c>
      <c r="AB1542" s="931">
        <f t="shared" si="430"/>
        <v>1133705729</v>
      </c>
      <c r="AC1542" s="933">
        <f>(AA1542/K1542)*100</f>
        <v>50</v>
      </c>
      <c r="AD1542" s="933">
        <f t="shared" si="428"/>
        <v>33.873428958483224</v>
      </c>
      <c r="AE1542" s="922" t="s">
        <v>1232</v>
      </c>
    </row>
    <row r="1543" spans="1:31" s="934" customFormat="1" ht="77.25" customHeight="1">
      <c r="A1543" s="987"/>
      <c r="B1543" s="987"/>
      <c r="C1543" s="963">
        <v>3</v>
      </c>
      <c r="D1543" s="964" t="s">
        <v>107</v>
      </c>
      <c r="E1543" s="936" t="s">
        <v>95</v>
      </c>
      <c r="F1543" s="964" t="s">
        <v>66</v>
      </c>
      <c r="G1543" s="963">
        <v>29</v>
      </c>
      <c r="H1543" s="938" t="s">
        <v>198</v>
      </c>
      <c r="I1543" s="965" t="s">
        <v>1275</v>
      </c>
      <c r="J1543" s="947" t="s">
        <v>1276</v>
      </c>
      <c r="K1543" s="927">
        <v>646</v>
      </c>
      <c r="L1543" s="925">
        <v>1705162000</v>
      </c>
      <c r="M1543" s="922">
        <v>140</v>
      </c>
      <c r="N1543" s="926">
        <v>364438600</v>
      </c>
      <c r="O1543" s="929">
        <v>66</v>
      </c>
      <c r="P1543" s="930">
        <v>166907302</v>
      </c>
      <c r="Q1543" s="929">
        <v>66</v>
      </c>
      <c r="R1543" s="930">
        <v>126232102</v>
      </c>
      <c r="S1543" s="922"/>
      <c r="T1543" s="922"/>
      <c r="U1543" s="922"/>
      <c r="V1543" s="922"/>
      <c r="W1543" s="922"/>
      <c r="X1543" s="922"/>
      <c r="Y1543" s="922">
        <f t="shared" si="433"/>
        <v>66</v>
      </c>
      <c r="Z1543" s="928">
        <f t="shared" si="433"/>
        <v>126232102</v>
      </c>
      <c r="AA1543" s="922">
        <f t="shared" si="430"/>
        <v>206</v>
      </c>
      <c r="AB1543" s="931">
        <f t="shared" si="430"/>
        <v>490670702</v>
      </c>
      <c r="AC1543" s="933">
        <f t="shared" ref="AC1543:AC1544" si="434">(AA1543/K1543)*100</f>
        <v>31.888544891640869</v>
      </c>
      <c r="AD1543" s="933">
        <f t="shared" si="428"/>
        <v>28.775606188737491</v>
      </c>
      <c r="AE1543" s="922" t="s">
        <v>1232</v>
      </c>
    </row>
    <row r="1544" spans="1:31" s="934" customFormat="1" ht="91.5" customHeight="1">
      <c r="A1544" s="989"/>
      <c r="B1544" s="987"/>
      <c r="C1544" s="963">
        <v>3</v>
      </c>
      <c r="D1544" s="964" t="s">
        <v>107</v>
      </c>
      <c r="E1544" s="936" t="s">
        <v>95</v>
      </c>
      <c r="F1544" s="964" t="s">
        <v>66</v>
      </c>
      <c r="G1544" s="964">
        <v>29</v>
      </c>
      <c r="H1544" s="967" t="s">
        <v>201</v>
      </c>
      <c r="I1544" s="965" t="s">
        <v>1277</v>
      </c>
      <c r="J1544" s="966" t="s">
        <v>1278</v>
      </c>
      <c r="K1544" s="924">
        <v>150</v>
      </c>
      <c r="L1544" s="925">
        <v>518158000</v>
      </c>
      <c r="M1544" s="922">
        <v>0</v>
      </c>
      <c r="N1544" s="937">
        <v>0</v>
      </c>
      <c r="O1544" s="929">
        <v>30</v>
      </c>
      <c r="P1544" s="930">
        <v>143157740</v>
      </c>
      <c r="Q1544" s="922">
        <v>0</v>
      </c>
      <c r="R1544" s="930">
        <v>2304000</v>
      </c>
      <c r="S1544" s="922"/>
      <c r="T1544" s="922"/>
      <c r="U1544" s="922"/>
      <c r="V1544" s="922"/>
      <c r="W1544" s="922"/>
      <c r="X1544" s="922"/>
      <c r="Y1544" s="922">
        <f t="shared" si="433"/>
        <v>0</v>
      </c>
      <c r="Z1544" s="928">
        <f t="shared" si="433"/>
        <v>2304000</v>
      </c>
      <c r="AA1544" s="922">
        <f t="shared" si="430"/>
        <v>0</v>
      </c>
      <c r="AB1544" s="931">
        <f t="shared" si="430"/>
        <v>2304000</v>
      </c>
      <c r="AC1544" s="933">
        <f t="shared" si="434"/>
        <v>0</v>
      </c>
      <c r="AD1544" s="933">
        <f t="shared" si="428"/>
        <v>0.44465201733834081</v>
      </c>
      <c r="AE1544" s="922" t="s">
        <v>1232</v>
      </c>
    </row>
    <row r="1545" spans="1:31" s="934" customFormat="1" ht="33" customHeight="1">
      <c r="A1545" s="985">
        <v>4</v>
      </c>
      <c r="B1545" s="960"/>
      <c r="C1545" s="961">
        <v>3</v>
      </c>
      <c r="D1545" s="962" t="s">
        <v>107</v>
      </c>
      <c r="E1545" s="942" t="s">
        <v>95</v>
      </c>
      <c r="F1545" s="962" t="s">
        <v>66</v>
      </c>
      <c r="G1545" s="962" t="s">
        <v>161</v>
      </c>
      <c r="H1545" s="943"/>
      <c r="I1545" s="2606" t="s">
        <v>226</v>
      </c>
      <c r="J1545" s="2607"/>
      <c r="K1545" s="941">
        <f t="shared" ref="K1545:R1545" si="435">SUM(K1546:K1547)</f>
        <v>660</v>
      </c>
      <c r="L1545" s="969">
        <f t="shared" si="435"/>
        <v>982223000</v>
      </c>
      <c r="M1545" s="941">
        <f t="shared" si="435"/>
        <v>100</v>
      </c>
      <c r="N1545" s="970">
        <f t="shared" si="435"/>
        <v>105707369</v>
      </c>
      <c r="O1545" s="941">
        <f t="shared" si="435"/>
        <v>140</v>
      </c>
      <c r="P1545" s="970">
        <f t="shared" si="435"/>
        <v>267846418</v>
      </c>
      <c r="Q1545" s="941">
        <f t="shared" si="435"/>
        <v>0</v>
      </c>
      <c r="R1545" s="970">
        <f t="shared" si="435"/>
        <v>0</v>
      </c>
      <c r="S1545" s="941"/>
      <c r="T1545" s="941"/>
      <c r="U1545" s="941"/>
      <c r="V1545" s="941"/>
      <c r="W1545" s="941"/>
      <c r="X1545" s="941"/>
      <c r="Y1545" s="941">
        <f>SUM(Y1546:Y1547)</f>
        <v>0</v>
      </c>
      <c r="Z1545" s="970">
        <f>SUM(Z1546:Z1547)</f>
        <v>0</v>
      </c>
      <c r="AA1545" s="941">
        <f>SUM(AA1546:AA1547)</f>
        <v>100</v>
      </c>
      <c r="AB1545" s="969">
        <f>SUM(AB1546:AB1547)</f>
        <v>105707369</v>
      </c>
      <c r="AC1545" s="945"/>
      <c r="AD1545" s="945"/>
      <c r="AE1545" s="946" t="s">
        <v>1232</v>
      </c>
    </row>
    <row r="1546" spans="1:31" s="934" customFormat="1" ht="91.5" customHeight="1">
      <c r="A1546" s="988"/>
      <c r="B1546" s="987"/>
      <c r="C1546" s="963">
        <v>3</v>
      </c>
      <c r="D1546" s="964" t="s">
        <v>107</v>
      </c>
      <c r="E1546" s="936" t="s">
        <v>95</v>
      </c>
      <c r="F1546" s="964" t="s">
        <v>66</v>
      </c>
      <c r="G1546" s="964" t="s">
        <v>161</v>
      </c>
      <c r="H1546" s="922">
        <v>41</v>
      </c>
      <c r="I1546" s="965" t="s">
        <v>1279</v>
      </c>
      <c r="J1546" s="971" t="s">
        <v>1280</v>
      </c>
      <c r="K1546" s="924">
        <v>160</v>
      </c>
      <c r="L1546" s="925">
        <v>377322000</v>
      </c>
      <c r="M1546" s="922">
        <v>0</v>
      </c>
      <c r="N1546" s="937">
        <v>0</v>
      </c>
      <c r="O1546" s="927">
        <v>40</v>
      </c>
      <c r="P1546" s="928">
        <v>92322300</v>
      </c>
      <c r="Q1546" s="922">
        <v>0</v>
      </c>
      <c r="R1546" s="925">
        <v>0</v>
      </c>
      <c r="S1546" s="922"/>
      <c r="T1546" s="922"/>
      <c r="U1546" s="922"/>
      <c r="V1546" s="922"/>
      <c r="W1546" s="922"/>
      <c r="X1546" s="922"/>
      <c r="Y1546" s="922">
        <f>Q1546</f>
        <v>0</v>
      </c>
      <c r="Z1546" s="925">
        <f>R1546</f>
        <v>0</v>
      </c>
      <c r="AA1546" s="922">
        <f t="shared" si="430"/>
        <v>0</v>
      </c>
      <c r="AB1546" s="972">
        <f t="shared" si="430"/>
        <v>0</v>
      </c>
      <c r="AC1546" s="933">
        <f>(AA1546/K1546)*100</f>
        <v>0</v>
      </c>
      <c r="AD1546" s="933">
        <f t="shared" ref="AD1546:AD1568" si="436">(AB1546/L1546)*100</f>
        <v>0</v>
      </c>
      <c r="AE1546" s="922" t="s">
        <v>1232</v>
      </c>
    </row>
    <row r="1547" spans="1:31" s="934" customFormat="1" ht="93" customHeight="1">
      <c r="A1547" s="988"/>
      <c r="B1547" s="987"/>
      <c r="C1547" s="963">
        <v>3</v>
      </c>
      <c r="D1547" s="964" t="s">
        <v>107</v>
      </c>
      <c r="E1547" s="936" t="s">
        <v>95</v>
      </c>
      <c r="F1547" s="964" t="s">
        <v>66</v>
      </c>
      <c r="G1547" s="964" t="s">
        <v>161</v>
      </c>
      <c r="H1547" s="922">
        <v>18</v>
      </c>
      <c r="I1547" s="965" t="s">
        <v>1281</v>
      </c>
      <c r="J1547" s="966" t="s">
        <v>1282</v>
      </c>
      <c r="K1547" s="924">
        <v>500</v>
      </c>
      <c r="L1547" s="925">
        <v>604901000</v>
      </c>
      <c r="M1547" s="922">
        <v>100</v>
      </c>
      <c r="N1547" s="926">
        <v>105707369</v>
      </c>
      <c r="O1547" s="927">
        <v>100</v>
      </c>
      <c r="P1547" s="928">
        <v>175524118</v>
      </c>
      <c r="Q1547" s="922">
        <v>0</v>
      </c>
      <c r="R1547" s="925">
        <v>0</v>
      </c>
      <c r="S1547" s="922"/>
      <c r="T1547" s="922"/>
      <c r="U1547" s="922"/>
      <c r="V1547" s="922"/>
      <c r="W1547" s="922"/>
      <c r="X1547" s="922"/>
      <c r="Y1547" s="922">
        <f>Q1547</f>
        <v>0</v>
      </c>
      <c r="Z1547" s="925">
        <f>R1547</f>
        <v>0</v>
      </c>
      <c r="AA1547" s="922">
        <f t="shared" si="430"/>
        <v>100</v>
      </c>
      <c r="AB1547" s="931">
        <f t="shared" si="430"/>
        <v>105707369</v>
      </c>
      <c r="AC1547" s="933">
        <f>(AA1547/K1547)*100</f>
        <v>20</v>
      </c>
      <c r="AD1547" s="933">
        <f t="shared" si="436"/>
        <v>17.475151967016089</v>
      </c>
      <c r="AE1547" s="922" t="s">
        <v>1232</v>
      </c>
    </row>
    <row r="1548" spans="1:31" s="934" customFormat="1" ht="30" customHeight="1">
      <c r="A1548" s="939">
        <v>5</v>
      </c>
      <c r="B1548" s="960"/>
      <c r="C1548" s="961">
        <v>3</v>
      </c>
      <c r="D1548" s="962" t="s">
        <v>107</v>
      </c>
      <c r="E1548" s="942" t="s">
        <v>95</v>
      </c>
      <c r="F1548" s="962" t="s">
        <v>66</v>
      </c>
      <c r="G1548" s="962" t="s">
        <v>66</v>
      </c>
      <c r="H1548" s="943"/>
      <c r="I1548" s="2606" t="s">
        <v>221</v>
      </c>
      <c r="J1548" s="2607"/>
      <c r="K1548" s="941">
        <f>SUM(K1549:K1560)</f>
        <v>7200</v>
      </c>
      <c r="L1548" s="969">
        <f>SUM(L1549:L1560)</f>
        <v>3694120000</v>
      </c>
      <c r="M1548" s="941">
        <f t="shared" ref="M1548:AA1548" si="437">SUM(M1549:M1560)</f>
        <v>2400</v>
      </c>
      <c r="N1548" s="970">
        <f>SUM(N1549:N1560)</f>
        <v>1368084000</v>
      </c>
      <c r="O1548" s="941">
        <f t="shared" si="437"/>
        <v>1200</v>
      </c>
      <c r="P1548" s="969">
        <f>SUM(P1549:P1560)</f>
        <v>566197922</v>
      </c>
      <c r="Q1548" s="941">
        <f t="shared" si="437"/>
        <v>243</v>
      </c>
      <c r="R1548" s="969">
        <f>SUM(R1549:R1560)</f>
        <v>108672777</v>
      </c>
      <c r="S1548" s="941"/>
      <c r="T1548" s="941"/>
      <c r="U1548" s="941"/>
      <c r="V1548" s="941"/>
      <c r="W1548" s="941"/>
      <c r="X1548" s="941"/>
      <c r="Y1548" s="941">
        <f t="shared" si="437"/>
        <v>243</v>
      </c>
      <c r="Z1548" s="969">
        <f>SUM(Z1549:Z1560)</f>
        <v>108672777</v>
      </c>
      <c r="AA1548" s="941">
        <f t="shared" si="437"/>
        <v>2643</v>
      </c>
      <c r="AB1548" s="969">
        <f>SUM(AB1549:AB1560)</f>
        <v>1476756777</v>
      </c>
      <c r="AC1548" s="945"/>
      <c r="AD1548" s="945"/>
      <c r="AE1548" s="946" t="s">
        <v>1232</v>
      </c>
    </row>
    <row r="1549" spans="1:31" s="934" customFormat="1" ht="78.75" customHeight="1">
      <c r="A1549" s="987"/>
      <c r="B1549" s="991" t="s">
        <v>1247</v>
      </c>
      <c r="C1549" s="963">
        <v>3</v>
      </c>
      <c r="D1549" s="964" t="s">
        <v>107</v>
      </c>
      <c r="E1549" s="936" t="s">
        <v>95</v>
      </c>
      <c r="F1549" s="964" t="s">
        <v>66</v>
      </c>
      <c r="G1549" s="964" t="s">
        <v>66</v>
      </c>
      <c r="H1549" s="938" t="s">
        <v>65</v>
      </c>
      <c r="I1549" s="965" t="s">
        <v>1283</v>
      </c>
      <c r="J1549" s="965" t="s">
        <v>1284</v>
      </c>
      <c r="K1549" s="973">
        <v>600</v>
      </c>
      <c r="L1549" s="925">
        <v>442480000</v>
      </c>
      <c r="M1549" s="922">
        <v>200</v>
      </c>
      <c r="N1549" s="926">
        <v>198880000</v>
      </c>
      <c r="O1549" s="922">
        <v>100</v>
      </c>
      <c r="P1549" s="974">
        <v>60900000</v>
      </c>
      <c r="Q1549" s="922">
        <v>25</v>
      </c>
      <c r="R1549" s="925">
        <v>15227285</v>
      </c>
      <c r="S1549" s="922"/>
      <c r="T1549" s="922"/>
      <c r="U1549" s="922"/>
      <c r="V1549" s="922"/>
      <c r="W1549" s="922"/>
      <c r="X1549" s="922"/>
      <c r="Y1549" s="922">
        <f>Q1549</f>
        <v>25</v>
      </c>
      <c r="Z1549" s="925">
        <f>R1549</f>
        <v>15227285</v>
      </c>
      <c r="AA1549" s="922">
        <f t="shared" si="430"/>
        <v>225</v>
      </c>
      <c r="AB1549" s="931">
        <f t="shared" si="430"/>
        <v>214107285</v>
      </c>
      <c r="AC1549" s="933">
        <f t="shared" ref="AC1549:AC1560" si="438">(AA1549/K1549)*100</f>
        <v>37.5</v>
      </c>
      <c r="AD1549" s="933">
        <f t="shared" si="436"/>
        <v>48.388014147532097</v>
      </c>
      <c r="AE1549" s="922" t="s">
        <v>1232</v>
      </c>
    </row>
    <row r="1550" spans="1:31" s="934" customFormat="1" ht="76.5" customHeight="1">
      <c r="A1550" s="987"/>
      <c r="B1550" s="987"/>
      <c r="C1550" s="963">
        <v>3</v>
      </c>
      <c r="D1550" s="964" t="s">
        <v>107</v>
      </c>
      <c r="E1550" s="936" t="s">
        <v>95</v>
      </c>
      <c r="F1550" s="964" t="s">
        <v>66</v>
      </c>
      <c r="G1550" s="964" t="s">
        <v>66</v>
      </c>
      <c r="H1550" s="938" t="s">
        <v>196</v>
      </c>
      <c r="I1550" s="965" t="s">
        <v>1285</v>
      </c>
      <c r="J1550" s="965" t="s">
        <v>1286</v>
      </c>
      <c r="K1550" s="973">
        <v>600</v>
      </c>
      <c r="L1550" s="925">
        <v>53402000</v>
      </c>
      <c r="M1550" s="922">
        <v>200</v>
      </c>
      <c r="N1550" s="926">
        <v>15954000</v>
      </c>
      <c r="O1550" s="922">
        <v>100</v>
      </c>
      <c r="P1550" s="974">
        <v>9362784</v>
      </c>
      <c r="Q1550" s="922">
        <v>40</v>
      </c>
      <c r="R1550" s="925">
        <v>3693200</v>
      </c>
      <c r="S1550" s="922"/>
      <c r="T1550" s="922"/>
      <c r="U1550" s="922"/>
      <c r="V1550" s="922"/>
      <c r="W1550" s="922"/>
      <c r="X1550" s="922"/>
      <c r="Y1550" s="922">
        <f t="shared" ref="Y1550:Z1560" si="439">Q1550</f>
        <v>40</v>
      </c>
      <c r="Z1550" s="925">
        <f t="shared" si="439"/>
        <v>3693200</v>
      </c>
      <c r="AA1550" s="922">
        <f t="shared" si="430"/>
        <v>240</v>
      </c>
      <c r="AB1550" s="931">
        <f t="shared" si="430"/>
        <v>19647200</v>
      </c>
      <c r="AC1550" s="933">
        <f t="shared" si="438"/>
        <v>40</v>
      </c>
      <c r="AD1550" s="933">
        <f t="shared" si="436"/>
        <v>36.791131418298939</v>
      </c>
      <c r="AE1550" s="922" t="s">
        <v>1232</v>
      </c>
    </row>
    <row r="1551" spans="1:31" s="934" customFormat="1" ht="107.25" customHeight="1">
      <c r="A1551" s="987"/>
      <c r="B1551" s="987"/>
      <c r="C1551" s="963">
        <v>3</v>
      </c>
      <c r="D1551" s="964" t="s">
        <v>107</v>
      </c>
      <c r="E1551" s="936" t="s">
        <v>95</v>
      </c>
      <c r="F1551" s="964" t="s">
        <v>66</v>
      </c>
      <c r="G1551" s="964" t="s">
        <v>66</v>
      </c>
      <c r="H1551" s="938" t="s">
        <v>198</v>
      </c>
      <c r="I1551" s="965" t="s">
        <v>1287</v>
      </c>
      <c r="J1551" s="965" t="s">
        <v>1288</v>
      </c>
      <c r="K1551" s="973">
        <v>600</v>
      </c>
      <c r="L1551" s="925">
        <v>631032000</v>
      </c>
      <c r="M1551" s="922">
        <v>200</v>
      </c>
      <c r="N1551" s="926">
        <v>250182000</v>
      </c>
      <c r="O1551" s="922">
        <v>100</v>
      </c>
      <c r="P1551" s="974">
        <v>64200000</v>
      </c>
      <c r="Q1551" s="922">
        <v>20</v>
      </c>
      <c r="R1551" s="925">
        <v>12450000</v>
      </c>
      <c r="S1551" s="922"/>
      <c r="T1551" s="922"/>
      <c r="U1551" s="922"/>
      <c r="V1551" s="922"/>
      <c r="W1551" s="922"/>
      <c r="X1551" s="922"/>
      <c r="Y1551" s="922">
        <f t="shared" si="439"/>
        <v>20</v>
      </c>
      <c r="Z1551" s="925">
        <f t="shared" si="439"/>
        <v>12450000</v>
      </c>
      <c r="AA1551" s="922">
        <f t="shared" si="430"/>
        <v>220</v>
      </c>
      <c r="AB1551" s="931">
        <f t="shared" si="430"/>
        <v>262632000</v>
      </c>
      <c r="AC1551" s="933">
        <f t="shared" si="438"/>
        <v>36.666666666666664</v>
      </c>
      <c r="AD1551" s="933">
        <f t="shared" si="436"/>
        <v>41.619442437150575</v>
      </c>
      <c r="AE1551" s="922" t="s">
        <v>1232</v>
      </c>
    </row>
    <row r="1552" spans="1:31" s="934" customFormat="1" ht="60.75" customHeight="1">
      <c r="A1552" s="987"/>
      <c r="B1552" s="987"/>
      <c r="C1552" s="963">
        <v>3</v>
      </c>
      <c r="D1552" s="964" t="s">
        <v>107</v>
      </c>
      <c r="E1552" s="936" t="s">
        <v>95</v>
      </c>
      <c r="F1552" s="964" t="s">
        <v>66</v>
      </c>
      <c r="G1552" s="964" t="s">
        <v>66</v>
      </c>
      <c r="H1552" s="938" t="s">
        <v>93</v>
      </c>
      <c r="I1552" s="965" t="s">
        <v>149</v>
      </c>
      <c r="J1552" s="966" t="s">
        <v>1289</v>
      </c>
      <c r="K1552" s="973">
        <v>600</v>
      </c>
      <c r="L1552" s="925">
        <v>255000000</v>
      </c>
      <c r="M1552" s="922">
        <v>200</v>
      </c>
      <c r="N1552" s="926">
        <v>47000000</v>
      </c>
      <c r="O1552" s="922">
        <v>100</v>
      </c>
      <c r="P1552" s="974">
        <v>52000000</v>
      </c>
      <c r="Q1552" s="922">
        <v>23</v>
      </c>
      <c r="R1552" s="925">
        <v>11000000</v>
      </c>
      <c r="S1552" s="922"/>
      <c r="T1552" s="922"/>
      <c r="U1552" s="922"/>
      <c r="V1552" s="922"/>
      <c r="W1552" s="922"/>
      <c r="X1552" s="922"/>
      <c r="Y1552" s="922">
        <f t="shared" si="439"/>
        <v>23</v>
      </c>
      <c r="Z1552" s="925">
        <f t="shared" si="439"/>
        <v>11000000</v>
      </c>
      <c r="AA1552" s="922">
        <f t="shared" si="430"/>
        <v>223</v>
      </c>
      <c r="AB1552" s="931">
        <f t="shared" si="430"/>
        <v>58000000</v>
      </c>
      <c r="AC1552" s="933">
        <f t="shared" si="438"/>
        <v>37.166666666666664</v>
      </c>
      <c r="AD1552" s="933">
        <f t="shared" si="436"/>
        <v>22.745098039215687</v>
      </c>
      <c r="AE1552" s="922" t="s">
        <v>1232</v>
      </c>
    </row>
    <row r="1553" spans="1:31" s="934" customFormat="1" ht="90.75" customHeight="1">
      <c r="A1553" s="987"/>
      <c r="B1553" s="987"/>
      <c r="C1553" s="963">
        <v>3</v>
      </c>
      <c r="D1553" s="964" t="s">
        <v>107</v>
      </c>
      <c r="E1553" s="936" t="s">
        <v>95</v>
      </c>
      <c r="F1553" s="964" t="s">
        <v>66</v>
      </c>
      <c r="G1553" s="964" t="s">
        <v>66</v>
      </c>
      <c r="H1553" s="922">
        <v>10</v>
      </c>
      <c r="I1553" s="965" t="s">
        <v>150</v>
      </c>
      <c r="J1553" s="966" t="s">
        <v>1290</v>
      </c>
      <c r="K1553" s="973">
        <v>600</v>
      </c>
      <c r="L1553" s="925">
        <v>221973000</v>
      </c>
      <c r="M1553" s="922">
        <v>200</v>
      </c>
      <c r="N1553" s="926">
        <v>82295000</v>
      </c>
      <c r="O1553" s="922">
        <v>100</v>
      </c>
      <c r="P1553" s="974">
        <v>34295038</v>
      </c>
      <c r="Q1553" s="922">
        <v>23</v>
      </c>
      <c r="R1553" s="925">
        <v>6729592</v>
      </c>
      <c r="S1553" s="922"/>
      <c r="T1553" s="922"/>
      <c r="U1553" s="922"/>
      <c r="V1553" s="922"/>
      <c r="W1553" s="922"/>
      <c r="X1553" s="922"/>
      <c r="Y1553" s="922">
        <f t="shared" si="439"/>
        <v>23</v>
      </c>
      <c r="Z1553" s="925">
        <f t="shared" si="439"/>
        <v>6729592</v>
      </c>
      <c r="AA1553" s="922">
        <f t="shared" si="430"/>
        <v>223</v>
      </c>
      <c r="AB1553" s="931">
        <f t="shared" si="430"/>
        <v>89024592</v>
      </c>
      <c r="AC1553" s="933">
        <f t="shared" si="438"/>
        <v>37.166666666666664</v>
      </c>
      <c r="AD1553" s="933">
        <f t="shared" si="436"/>
        <v>40.106045329837414</v>
      </c>
      <c r="AE1553" s="922" t="s">
        <v>1232</v>
      </c>
    </row>
    <row r="1554" spans="1:31" s="934" customFormat="1" ht="92.25" customHeight="1">
      <c r="A1554" s="987"/>
      <c r="B1554" s="987"/>
      <c r="C1554" s="963">
        <v>3</v>
      </c>
      <c r="D1554" s="964" t="s">
        <v>107</v>
      </c>
      <c r="E1554" s="936" t="s">
        <v>95</v>
      </c>
      <c r="F1554" s="964" t="s">
        <v>66</v>
      </c>
      <c r="G1554" s="964" t="s">
        <v>66</v>
      </c>
      <c r="H1554" s="922">
        <v>11</v>
      </c>
      <c r="I1554" s="965" t="s">
        <v>151</v>
      </c>
      <c r="J1554" s="966" t="s">
        <v>1291</v>
      </c>
      <c r="K1554" s="973">
        <v>600</v>
      </c>
      <c r="L1554" s="925">
        <v>302143000</v>
      </c>
      <c r="M1554" s="922">
        <v>200</v>
      </c>
      <c r="N1554" s="926">
        <v>112815000</v>
      </c>
      <c r="O1554" s="922">
        <v>100</v>
      </c>
      <c r="P1554" s="974">
        <v>47332000</v>
      </c>
      <c r="Q1554" s="922">
        <v>17</v>
      </c>
      <c r="R1554" s="925">
        <v>6713000</v>
      </c>
      <c r="S1554" s="922"/>
      <c r="T1554" s="922"/>
      <c r="U1554" s="922"/>
      <c r="V1554" s="922"/>
      <c r="W1554" s="922"/>
      <c r="X1554" s="922"/>
      <c r="Y1554" s="922">
        <f t="shared" si="439"/>
        <v>17</v>
      </c>
      <c r="Z1554" s="925">
        <f t="shared" si="439"/>
        <v>6713000</v>
      </c>
      <c r="AA1554" s="922">
        <f t="shared" si="430"/>
        <v>217</v>
      </c>
      <c r="AB1554" s="931">
        <f t="shared" si="430"/>
        <v>119528000</v>
      </c>
      <c r="AC1554" s="933">
        <f t="shared" si="438"/>
        <v>36.166666666666671</v>
      </c>
      <c r="AD1554" s="933">
        <f t="shared" si="436"/>
        <v>39.560075858120165</v>
      </c>
      <c r="AE1554" s="922" t="s">
        <v>1232</v>
      </c>
    </row>
    <row r="1555" spans="1:31" s="934" customFormat="1" ht="90.75" customHeight="1">
      <c r="A1555" s="987"/>
      <c r="B1555" s="987"/>
      <c r="C1555" s="963">
        <v>3</v>
      </c>
      <c r="D1555" s="964" t="s">
        <v>107</v>
      </c>
      <c r="E1555" s="936" t="s">
        <v>95</v>
      </c>
      <c r="F1555" s="964" t="s">
        <v>66</v>
      </c>
      <c r="G1555" s="964" t="s">
        <v>66</v>
      </c>
      <c r="H1555" s="922">
        <v>12</v>
      </c>
      <c r="I1555" s="965" t="s">
        <v>152</v>
      </c>
      <c r="J1555" s="966" t="s">
        <v>1292</v>
      </c>
      <c r="K1555" s="973">
        <v>600</v>
      </c>
      <c r="L1555" s="925">
        <v>75025000</v>
      </c>
      <c r="M1555" s="922">
        <v>200</v>
      </c>
      <c r="N1555" s="926">
        <v>44913000</v>
      </c>
      <c r="O1555" s="922">
        <v>100</v>
      </c>
      <c r="P1555" s="974">
        <v>7528100</v>
      </c>
      <c r="Q1555" s="922">
        <v>13</v>
      </c>
      <c r="R1555" s="925">
        <v>740300</v>
      </c>
      <c r="S1555" s="922"/>
      <c r="T1555" s="922"/>
      <c r="U1555" s="922"/>
      <c r="V1555" s="922"/>
      <c r="W1555" s="922"/>
      <c r="X1555" s="922"/>
      <c r="Y1555" s="922">
        <f t="shared" si="439"/>
        <v>13</v>
      </c>
      <c r="Z1555" s="925">
        <f t="shared" si="439"/>
        <v>740300</v>
      </c>
      <c r="AA1555" s="922">
        <f t="shared" si="430"/>
        <v>213</v>
      </c>
      <c r="AB1555" s="931">
        <f t="shared" si="430"/>
        <v>45653300</v>
      </c>
      <c r="AC1555" s="933">
        <f t="shared" si="438"/>
        <v>35.5</v>
      </c>
      <c r="AD1555" s="933">
        <f t="shared" si="436"/>
        <v>60.850783072309234</v>
      </c>
      <c r="AE1555" s="922" t="s">
        <v>1232</v>
      </c>
    </row>
    <row r="1556" spans="1:31" s="934" customFormat="1" ht="109.5" customHeight="1">
      <c r="A1556" s="987"/>
      <c r="B1556" s="987"/>
      <c r="C1556" s="963">
        <v>3</v>
      </c>
      <c r="D1556" s="964" t="s">
        <v>107</v>
      </c>
      <c r="E1556" s="936" t="s">
        <v>95</v>
      </c>
      <c r="F1556" s="964" t="s">
        <v>66</v>
      </c>
      <c r="G1556" s="964" t="s">
        <v>66</v>
      </c>
      <c r="H1556" s="922">
        <v>15</v>
      </c>
      <c r="I1556" s="965" t="s">
        <v>1293</v>
      </c>
      <c r="J1556" s="966" t="s">
        <v>1294</v>
      </c>
      <c r="K1556" s="973">
        <v>600</v>
      </c>
      <c r="L1556" s="925">
        <v>77119000</v>
      </c>
      <c r="M1556" s="922">
        <v>200</v>
      </c>
      <c r="N1556" s="926">
        <v>24519000</v>
      </c>
      <c r="O1556" s="922">
        <v>100</v>
      </c>
      <c r="P1556" s="974">
        <v>25900000</v>
      </c>
      <c r="Q1556" s="922">
        <v>3</v>
      </c>
      <c r="R1556" s="925">
        <v>752000</v>
      </c>
      <c r="S1556" s="922"/>
      <c r="T1556" s="922"/>
      <c r="U1556" s="922"/>
      <c r="V1556" s="922"/>
      <c r="W1556" s="922"/>
      <c r="X1556" s="922"/>
      <c r="Y1556" s="922">
        <f t="shared" si="439"/>
        <v>3</v>
      </c>
      <c r="Z1556" s="925">
        <f t="shared" si="439"/>
        <v>752000</v>
      </c>
      <c r="AA1556" s="922">
        <f t="shared" si="430"/>
        <v>203</v>
      </c>
      <c r="AB1556" s="931">
        <f t="shared" si="430"/>
        <v>25271000</v>
      </c>
      <c r="AC1556" s="933">
        <f t="shared" si="438"/>
        <v>33.833333333333329</v>
      </c>
      <c r="AD1556" s="933">
        <f t="shared" si="436"/>
        <v>32.768837770199305</v>
      </c>
      <c r="AE1556" s="922" t="s">
        <v>1232</v>
      </c>
    </row>
    <row r="1557" spans="1:31" s="934" customFormat="1" ht="75" customHeight="1">
      <c r="A1557" s="987"/>
      <c r="B1557" s="987"/>
      <c r="C1557" s="963">
        <v>3</v>
      </c>
      <c r="D1557" s="964" t="s">
        <v>107</v>
      </c>
      <c r="E1557" s="936" t="s">
        <v>95</v>
      </c>
      <c r="F1557" s="964" t="s">
        <v>66</v>
      </c>
      <c r="G1557" s="964" t="s">
        <v>66</v>
      </c>
      <c r="H1557" s="922">
        <v>17</v>
      </c>
      <c r="I1557" s="965" t="s">
        <v>157</v>
      </c>
      <c r="J1557" s="966" t="s">
        <v>1295</v>
      </c>
      <c r="K1557" s="973">
        <v>600</v>
      </c>
      <c r="L1557" s="925">
        <v>240333000</v>
      </c>
      <c r="M1557" s="922">
        <v>200</v>
      </c>
      <c r="N1557" s="926">
        <v>69613000</v>
      </c>
      <c r="O1557" s="922">
        <v>100</v>
      </c>
      <c r="P1557" s="974">
        <v>42680000</v>
      </c>
      <c r="Q1557" s="922">
        <v>17</v>
      </c>
      <c r="R1557" s="925">
        <v>5367500</v>
      </c>
      <c r="S1557" s="922"/>
      <c r="T1557" s="922"/>
      <c r="U1557" s="922"/>
      <c r="V1557" s="922"/>
      <c r="W1557" s="922"/>
      <c r="X1557" s="922"/>
      <c r="Y1557" s="922">
        <f t="shared" si="439"/>
        <v>17</v>
      </c>
      <c r="Z1557" s="925">
        <f t="shared" si="439"/>
        <v>5367500</v>
      </c>
      <c r="AA1557" s="922">
        <f t="shared" si="430"/>
        <v>217</v>
      </c>
      <c r="AB1557" s="931">
        <f t="shared" si="430"/>
        <v>74980500</v>
      </c>
      <c r="AC1557" s="933">
        <f t="shared" si="438"/>
        <v>36.166666666666671</v>
      </c>
      <c r="AD1557" s="933">
        <f t="shared" si="436"/>
        <v>31.198586960592177</v>
      </c>
      <c r="AE1557" s="922" t="s">
        <v>1232</v>
      </c>
    </row>
    <row r="1558" spans="1:31" s="934" customFormat="1" ht="105" customHeight="1">
      <c r="A1558" s="987"/>
      <c r="B1558" s="987"/>
      <c r="C1558" s="963">
        <v>3</v>
      </c>
      <c r="D1558" s="964" t="s">
        <v>107</v>
      </c>
      <c r="E1558" s="936" t="s">
        <v>95</v>
      </c>
      <c r="F1558" s="964" t="s">
        <v>66</v>
      </c>
      <c r="G1558" s="964" t="s">
        <v>66</v>
      </c>
      <c r="H1558" s="922">
        <v>18</v>
      </c>
      <c r="I1558" s="965" t="s">
        <v>244</v>
      </c>
      <c r="J1558" s="966" t="s">
        <v>1296</v>
      </c>
      <c r="K1558" s="973">
        <v>600</v>
      </c>
      <c r="L1558" s="925">
        <v>832905000</v>
      </c>
      <c r="M1558" s="922">
        <v>200</v>
      </c>
      <c r="N1558" s="926">
        <v>363705000</v>
      </c>
      <c r="O1558" s="922">
        <v>100</v>
      </c>
      <c r="P1558" s="974">
        <v>117300000</v>
      </c>
      <c r="Q1558" s="922">
        <v>25</v>
      </c>
      <c r="R1558" s="925">
        <v>28622700</v>
      </c>
      <c r="S1558" s="922"/>
      <c r="T1558" s="922"/>
      <c r="U1558" s="922"/>
      <c r="V1558" s="922"/>
      <c r="W1558" s="922"/>
      <c r="X1558" s="922"/>
      <c r="Y1558" s="922">
        <f t="shared" si="439"/>
        <v>25</v>
      </c>
      <c r="Z1558" s="925">
        <f t="shared" si="439"/>
        <v>28622700</v>
      </c>
      <c r="AA1558" s="922">
        <f t="shared" si="430"/>
        <v>225</v>
      </c>
      <c r="AB1558" s="931">
        <f t="shared" si="430"/>
        <v>392327700</v>
      </c>
      <c r="AC1558" s="933">
        <f t="shared" si="438"/>
        <v>37.5</v>
      </c>
      <c r="AD1558" s="933">
        <f t="shared" si="436"/>
        <v>47.103535217101587</v>
      </c>
      <c r="AE1558" s="922" t="s">
        <v>1232</v>
      </c>
    </row>
    <row r="1559" spans="1:31" s="934" customFormat="1" ht="107.25" customHeight="1">
      <c r="A1559" s="987"/>
      <c r="B1559" s="987"/>
      <c r="C1559" s="963">
        <v>3</v>
      </c>
      <c r="D1559" s="964" t="s">
        <v>107</v>
      </c>
      <c r="E1559" s="936" t="s">
        <v>95</v>
      </c>
      <c r="F1559" s="964" t="s">
        <v>66</v>
      </c>
      <c r="G1559" s="964" t="s">
        <v>66</v>
      </c>
      <c r="H1559" s="922">
        <v>20</v>
      </c>
      <c r="I1559" s="965" t="s">
        <v>246</v>
      </c>
      <c r="J1559" s="966" t="s">
        <v>1297</v>
      </c>
      <c r="K1559" s="973">
        <v>600</v>
      </c>
      <c r="L1559" s="925">
        <v>398565000</v>
      </c>
      <c r="M1559" s="922">
        <v>200</v>
      </c>
      <c r="N1559" s="926">
        <v>139065000</v>
      </c>
      <c r="O1559" s="922">
        <v>100</v>
      </c>
      <c r="P1559" s="974">
        <v>64700000</v>
      </c>
      <c r="Q1559" s="922">
        <v>28</v>
      </c>
      <c r="R1559" s="925">
        <v>17137200</v>
      </c>
      <c r="S1559" s="922"/>
      <c r="T1559" s="922"/>
      <c r="U1559" s="922"/>
      <c r="V1559" s="922"/>
      <c r="W1559" s="922"/>
      <c r="X1559" s="922"/>
      <c r="Y1559" s="922">
        <f t="shared" si="439"/>
        <v>28</v>
      </c>
      <c r="Z1559" s="925">
        <f t="shared" si="439"/>
        <v>17137200</v>
      </c>
      <c r="AA1559" s="922">
        <f t="shared" si="430"/>
        <v>228</v>
      </c>
      <c r="AB1559" s="931">
        <f t="shared" si="430"/>
        <v>156202200</v>
      </c>
      <c r="AC1559" s="933">
        <f t="shared" si="438"/>
        <v>38</v>
      </c>
      <c r="AD1559" s="933">
        <f t="shared" si="436"/>
        <v>39.191148244326527</v>
      </c>
      <c r="AE1559" s="922" t="s">
        <v>1232</v>
      </c>
    </row>
    <row r="1560" spans="1:31" s="934" customFormat="1" ht="120.75" customHeight="1">
      <c r="A1560" s="987"/>
      <c r="B1560" s="987"/>
      <c r="C1560" s="963">
        <v>3</v>
      </c>
      <c r="D1560" s="964" t="s">
        <v>107</v>
      </c>
      <c r="E1560" s="936" t="s">
        <v>95</v>
      </c>
      <c r="F1560" s="964" t="s">
        <v>66</v>
      </c>
      <c r="G1560" s="964" t="s">
        <v>66</v>
      </c>
      <c r="H1560" s="922">
        <v>40</v>
      </c>
      <c r="I1560" s="965" t="s">
        <v>948</v>
      </c>
      <c r="J1560" s="966" t="s">
        <v>1298</v>
      </c>
      <c r="K1560" s="973">
        <v>600</v>
      </c>
      <c r="L1560" s="925">
        <v>164143000</v>
      </c>
      <c r="M1560" s="922">
        <v>200</v>
      </c>
      <c r="N1560" s="926">
        <v>19143000</v>
      </c>
      <c r="O1560" s="922">
        <v>100</v>
      </c>
      <c r="P1560" s="974">
        <v>40000000</v>
      </c>
      <c r="Q1560" s="922">
        <v>9</v>
      </c>
      <c r="R1560" s="925">
        <v>240000</v>
      </c>
      <c r="S1560" s="922"/>
      <c r="T1560" s="922"/>
      <c r="U1560" s="922"/>
      <c r="V1560" s="922"/>
      <c r="W1560" s="922"/>
      <c r="X1560" s="922"/>
      <c r="Y1560" s="922">
        <f t="shared" si="439"/>
        <v>9</v>
      </c>
      <c r="Z1560" s="925">
        <f t="shared" si="439"/>
        <v>240000</v>
      </c>
      <c r="AA1560" s="922">
        <f t="shared" si="430"/>
        <v>209</v>
      </c>
      <c r="AB1560" s="931">
        <f t="shared" si="430"/>
        <v>19383000</v>
      </c>
      <c r="AC1560" s="933">
        <f t="shared" si="438"/>
        <v>34.833333333333336</v>
      </c>
      <c r="AD1560" s="933">
        <f t="shared" si="436"/>
        <v>11.808605910699816</v>
      </c>
      <c r="AE1560" s="922" t="s">
        <v>1232</v>
      </c>
    </row>
    <row r="1561" spans="1:31" s="934" customFormat="1" ht="30.75" customHeight="1">
      <c r="A1561" s="993">
        <v>6</v>
      </c>
      <c r="B1561" s="960"/>
      <c r="C1561" s="961">
        <v>3</v>
      </c>
      <c r="D1561" s="962" t="s">
        <v>107</v>
      </c>
      <c r="E1561" s="942" t="s">
        <v>95</v>
      </c>
      <c r="F1561" s="962" t="s">
        <v>66</v>
      </c>
      <c r="G1561" s="962" t="s">
        <v>65</v>
      </c>
      <c r="H1561" s="943"/>
      <c r="I1561" s="2604" t="s">
        <v>257</v>
      </c>
      <c r="J1561" s="2605"/>
      <c r="K1561" s="941">
        <f>SUM(K1562:K1566)</f>
        <v>991</v>
      </c>
      <c r="L1561" s="969">
        <f>SUM(L1562:L1566)</f>
        <v>2899457000</v>
      </c>
      <c r="M1561" s="941">
        <f t="shared" ref="M1561:AA1561" si="440">SUM(M1562:M1566)</f>
        <v>424</v>
      </c>
      <c r="N1561" s="970">
        <f>SUM(N1562:N1566)</f>
        <v>966702000</v>
      </c>
      <c r="O1561" s="941">
        <f t="shared" si="440"/>
        <v>94</v>
      </c>
      <c r="P1561" s="970">
        <f>SUM(P1562:P1566)</f>
        <v>576617000</v>
      </c>
      <c r="Q1561" s="941">
        <f t="shared" si="440"/>
        <v>37</v>
      </c>
      <c r="R1561" s="969">
        <f>SUM(R1562:R1566)</f>
        <v>29234476</v>
      </c>
      <c r="S1561" s="941"/>
      <c r="T1561" s="941"/>
      <c r="U1561" s="941"/>
      <c r="V1561" s="941"/>
      <c r="W1561" s="941"/>
      <c r="X1561" s="941"/>
      <c r="Y1561" s="941">
        <f t="shared" si="440"/>
        <v>37</v>
      </c>
      <c r="Z1561" s="969">
        <f>SUM(Z1562:Z1566)</f>
        <v>29234476</v>
      </c>
      <c r="AA1561" s="941">
        <f t="shared" si="440"/>
        <v>461</v>
      </c>
      <c r="AB1561" s="969">
        <f>SUM(AB1562:AB1566)</f>
        <v>995936476</v>
      </c>
      <c r="AC1561" s="945"/>
      <c r="AD1561" s="945"/>
      <c r="AE1561" s="975" t="str">
        <f t="shared" ref="AE1561" si="441">AE1562</f>
        <v>BKPSDM</v>
      </c>
    </row>
    <row r="1562" spans="1:31" s="934" customFormat="1" ht="75" customHeight="1">
      <c r="A1562" s="919"/>
      <c r="B1562" s="992" t="s">
        <v>1247</v>
      </c>
      <c r="C1562" s="963">
        <v>3</v>
      </c>
      <c r="D1562" s="964" t="s">
        <v>107</v>
      </c>
      <c r="E1562" s="936" t="s">
        <v>95</v>
      </c>
      <c r="F1562" s="964" t="s">
        <v>66</v>
      </c>
      <c r="G1562" s="964" t="s">
        <v>65</v>
      </c>
      <c r="H1562" s="922"/>
      <c r="I1562" s="965" t="s">
        <v>935</v>
      </c>
      <c r="J1562" s="971" t="s">
        <v>1299</v>
      </c>
      <c r="K1562" s="976">
        <v>112</v>
      </c>
      <c r="L1562" s="925">
        <v>783962000</v>
      </c>
      <c r="M1562" s="922">
        <v>72</v>
      </c>
      <c r="N1562" s="926">
        <v>314162000</v>
      </c>
      <c r="O1562" s="924">
        <v>12</v>
      </c>
      <c r="P1562" s="926">
        <v>224700000</v>
      </c>
      <c r="Q1562" s="922">
        <v>0</v>
      </c>
      <c r="R1562" s="925">
        <v>0</v>
      </c>
      <c r="S1562" s="922"/>
      <c r="T1562" s="922"/>
      <c r="U1562" s="922"/>
      <c r="V1562" s="922"/>
      <c r="W1562" s="922"/>
      <c r="X1562" s="922"/>
      <c r="Y1562" s="922">
        <f>Q1562</f>
        <v>0</v>
      </c>
      <c r="Z1562" s="925">
        <f>R1562</f>
        <v>0</v>
      </c>
      <c r="AA1562" s="922">
        <f t="shared" si="430"/>
        <v>72</v>
      </c>
      <c r="AB1562" s="931">
        <f t="shared" si="430"/>
        <v>314162000</v>
      </c>
      <c r="AC1562" s="933">
        <f>(AA1562/K1562)*100</f>
        <v>64.285714285714292</v>
      </c>
      <c r="AD1562" s="933">
        <f t="shared" si="436"/>
        <v>40.073626017587586</v>
      </c>
      <c r="AE1562" s="922" t="s">
        <v>1232</v>
      </c>
    </row>
    <row r="1563" spans="1:31" s="934" customFormat="1" ht="75.75" customHeight="1">
      <c r="A1563" s="986"/>
      <c r="B1563" s="986"/>
      <c r="C1563" s="963">
        <v>3</v>
      </c>
      <c r="D1563" s="964" t="s">
        <v>107</v>
      </c>
      <c r="E1563" s="936" t="s">
        <v>95</v>
      </c>
      <c r="F1563" s="964" t="s">
        <v>66</v>
      </c>
      <c r="G1563" s="964" t="s">
        <v>65</v>
      </c>
      <c r="H1563" s="938" t="s">
        <v>201</v>
      </c>
      <c r="I1563" s="965" t="s">
        <v>454</v>
      </c>
      <c r="J1563" s="947" t="s">
        <v>1300</v>
      </c>
      <c r="K1563" s="929">
        <v>27</v>
      </c>
      <c r="L1563" s="925">
        <v>437880000</v>
      </c>
      <c r="M1563" s="922">
        <v>11</v>
      </c>
      <c r="N1563" s="926">
        <v>70260000</v>
      </c>
      <c r="O1563" s="927">
        <v>2</v>
      </c>
      <c r="P1563" s="930">
        <v>2500000</v>
      </c>
      <c r="Q1563" s="922">
        <v>0</v>
      </c>
      <c r="R1563" s="925">
        <v>0</v>
      </c>
      <c r="S1563" s="922"/>
      <c r="T1563" s="922"/>
      <c r="U1563" s="922"/>
      <c r="V1563" s="922"/>
      <c r="W1563" s="922"/>
      <c r="X1563" s="922"/>
      <c r="Y1563" s="922">
        <f t="shared" ref="Y1563:Z1566" si="442">Q1563</f>
        <v>0</v>
      </c>
      <c r="Z1563" s="925">
        <f t="shared" si="442"/>
        <v>0</v>
      </c>
      <c r="AA1563" s="922">
        <f t="shared" si="430"/>
        <v>11</v>
      </c>
      <c r="AB1563" s="931">
        <f t="shared" si="430"/>
        <v>70260000</v>
      </c>
      <c r="AC1563" s="933">
        <f>(AA1563/K1563)*100</f>
        <v>40.74074074074074</v>
      </c>
      <c r="AD1563" s="933">
        <f t="shared" si="436"/>
        <v>16.045491915593313</v>
      </c>
      <c r="AE1563" s="922" t="s">
        <v>1232</v>
      </c>
    </row>
    <row r="1564" spans="1:31" s="934" customFormat="1" ht="90.75" customHeight="1">
      <c r="A1564" s="987"/>
      <c r="B1564" s="987"/>
      <c r="C1564" s="963">
        <v>3</v>
      </c>
      <c r="D1564" s="964" t="s">
        <v>107</v>
      </c>
      <c r="E1564" s="936" t="s">
        <v>95</v>
      </c>
      <c r="F1564" s="964" t="s">
        <v>66</v>
      </c>
      <c r="G1564" s="964" t="s">
        <v>65</v>
      </c>
      <c r="H1564" s="922">
        <v>22</v>
      </c>
      <c r="I1564" s="965" t="s">
        <v>1301</v>
      </c>
      <c r="J1564" s="947" t="s">
        <v>1302</v>
      </c>
      <c r="K1564" s="929">
        <v>10</v>
      </c>
      <c r="L1564" s="925">
        <v>864819000</v>
      </c>
      <c r="M1564" s="922">
        <v>4</v>
      </c>
      <c r="N1564" s="926">
        <v>317885000</v>
      </c>
      <c r="O1564" s="927">
        <v>2</v>
      </c>
      <c r="P1564" s="930">
        <v>181800000</v>
      </c>
      <c r="Q1564" s="922">
        <v>0</v>
      </c>
      <c r="R1564" s="925">
        <v>0</v>
      </c>
      <c r="S1564" s="922"/>
      <c r="T1564" s="922"/>
      <c r="U1564" s="922"/>
      <c r="V1564" s="922"/>
      <c r="W1564" s="922"/>
      <c r="X1564" s="922"/>
      <c r="Y1564" s="922">
        <f t="shared" si="442"/>
        <v>0</v>
      </c>
      <c r="Z1564" s="925">
        <f t="shared" si="442"/>
        <v>0</v>
      </c>
      <c r="AA1564" s="922">
        <f t="shared" si="430"/>
        <v>4</v>
      </c>
      <c r="AB1564" s="931">
        <f t="shared" si="430"/>
        <v>317885000</v>
      </c>
      <c r="AC1564" s="933">
        <f>(AA1564/K1564)*100</f>
        <v>40</v>
      </c>
      <c r="AD1564" s="933">
        <f t="shared" si="436"/>
        <v>36.757402415996879</v>
      </c>
      <c r="AE1564" s="922" t="s">
        <v>1232</v>
      </c>
    </row>
    <row r="1565" spans="1:31" s="934" customFormat="1" ht="106.5" customHeight="1">
      <c r="A1565" s="987"/>
      <c r="B1565" s="987"/>
      <c r="C1565" s="963">
        <v>3</v>
      </c>
      <c r="D1565" s="964" t="s">
        <v>107</v>
      </c>
      <c r="E1565" s="936" t="s">
        <v>95</v>
      </c>
      <c r="F1565" s="964" t="s">
        <v>66</v>
      </c>
      <c r="G1565" s="964" t="s">
        <v>65</v>
      </c>
      <c r="H1565" s="922">
        <v>24</v>
      </c>
      <c r="I1565" s="965" t="s">
        <v>1303</v>
      </c>
      <c r="J1565" s="947" t="s">
        <v>1304</v>
      </c>
      <c r="K1565" s="973">
        <v>500</v>
      </c>
      <c r="L1565" s="925">
        <v>595731000</v>
      </c>
      <c r="M1565" s="922">
        <v>200</v>
      </c>
      <c r="N1565" s="926">
        <v>194286000</v>
      </c>
      <c r="O1565" s="977">
        <v>1</v>
      </c>
      <c r="P1565" s="930">
        <v>129825000</v>
      </c>
      <c r="Q1565" s="922">
        <v>20</v>
      </c>
      <c r="R1565" s="925">
        <v>23667476</v>
      </c>
      <c r="S1565" s="922"/>
      <c r="T1565" s="922"/>
      <c r="U1565" s="922"/>
      <c r="V1565" s="922"/>
      <c r="W1565" s="922"/>
      <c r="X1565" s="922"/>
      <c r="Y1565" s="922">
        <f t="shared" si="442"/>
        <v>20</v>
      </c>
      <c r="Z1565" s="925">
        <f t="shared" si="442"/>
        <v>23667476</v>
      </c>
      <c r="AA1565" s="922">
        <f t="shared" si="430"/>
        <v>220</v>
      </c>
      <c r="AB1565" s="931">
        <f t="shared" si="430"/>
        <v>217953476</v>
      </c>
      <c r="AC1565" s="933">
        <f>(AA1565/K1565)*100</f>
        <v>44</v>
      </c>
      <c r="AD1565" s="933">
        <f t="shared" si="436"/>
        <v>36.585887925926301</v>
      </c>
      <c r="AE1565" s="922" t="s">
        <v>1232</v>
      </c>
    </row>
    <row r="1566" spans="1:31" s="934" customFormat="1" ht="91.5" customHeight="1">
      <c r="A1566" s="987"/>
      <c r="B1566" s="987"/>
      <c r="C1566" s="963">
        <v>3</v>
      </c>
      <c r="D1566" s="964" t="s">
        <v>107</v>
      </c>
      <c r="E1566" s="936" t="s">
        <v>95</v>
      </c>
      <c r="F1566" s="964" t="s">
        <v>66</v>
      </c>
      <c r="G1566" s="964" t="s">
        <v>65</v>
      </c>
      <c r="H1566" s="922">
        <v>28</v>
      </c>
      <c r="I1566" s="965" t="s">
        <v>1305</v>
      </c>
      <c r="J1566" s="947" t="s">
        <v>1306</v>
      </c>
      <c r="K1566" s="929">
        <v>342</v>
      </c>
      <c r="L1566" s="925">
        <v>217065000</v>
      </c>
      <c r="M1566" s="922">
        <v>137</v>
      </c>
      <c r="N1566" s="926">
        <v>70109000</v>
      </c>
      <c r="O1566" s="922">
        <v>77</v>
      </c>
      <c r="P1566" s="930">
        <v>37792000</v>
      </c>
      <c r="Q1566" s="922">
        <v>17</v>
      </c>
      <c r="R1566" s="925">
        <v>5567000</v>
      </c>
      <c r="S1566" s="922"/>
      <c r="T1566" s="922"/>
      <c r="U1566" s="922"/>
      <c r="V1566" s="922"/>
      <c r="W1566" s="922"/>
      <c r="X1566" s="922"/>
      <c r="Y1566" s="922">
        <f t="shared" si="442"/>
        <v>17</v>
      </c>
      <c r="Z1566" s="925">
        <f t="shared" si="442"/>
        <v>5567000</v>
      </c>
      <c r="AA1566" s="922">
        <f t="shared" si="430"/>
        <v>154</v>
      </c>
      <c r="AB1566" s="931">
        <f t="shared" si="430"/>
        <v>75676000</v>
      </c>
      <c r="AC1566" s="933">
        <f>(AA1566/K1566)*100</f>
        <v>45.029239766081872</v>
      </c>
      <c r="AD1566" s="933">
        <f t="shared" si="436"/>
        <v>34.863289797986781</v>
      </c>
      <c r="AE1566" s="922" t="s">
        <v>1232</v>
      </c>
    </row>
    <row r="1567" spans="1:31" s="934" customFormat="1" ht="48" customHeight="1">
      <c r="A1567" s="939">
        <v>7</v>
      </c>
      <c r="B1567" s="960"/>
      <c r="C1567" s="961">
        <v>3</v>
      </c>
      <c r="D1567" s="962" t="s">
        <v>107</v>
      </c>
      <c r="E1567" s="942" t="s">
        <v>95</v>
      </c>
      <c r="F1567" s="962" t="s">
        <v>66</v>
      </c>
      <c r="G1567" s="962" t="s">
        <v>197</v>
      </c>
      <c r="H1567" s="943"/>
      <c r="I1567" s="2606" t="s">
        <v>227</v>
      </c>
      <c r="J1567" s="2607"/>
      <c r="K1567" s="975">
        <f>K1568</f>
        <v>66</v>
      </c>
      <c r="L1567" s="978">
        <f t="shared" ref="L1567:AE1567" si="443">L1568</f>
        <v>113071000</v>
      </c>
      <c r="M1567" s="975">
        <f t="shared" si="443"/>
        <v>22</v>
      </c>
      <c r="N1567" s="978">
        <f t="shared" si="443"/>
        <v>21953000</v>
      </c>
      <c r="O1567" s="975">
        <f t="shared" si="443"/>
        <v>11</v>
      </c>
      <c r="P1567" s="978">
        <f t="shared" si="443"/>
        <v>14918220</v>
      </c>
      <c r="Q1567" s="975">
        <f t="shared" si="443"/>
        <v>0</v>
      </c>
      <c r="R1567" s="978">
        <f t="shared" si="443"/>
        <v>0</v>
      </c>
      <c r="S1567" s="975"/>
      <c r="T1567" s="975"/>
      <c r="U1567" s="975"/>
      <c r="V1567" s="975"/>
      <c r="W1567" s="975"/>
      <c r="X1567" s="975"/>
      <c r="Y1567" s="975">
        <f t="shared" si="443"/>
        <v>0</v>
      </c>
      <c r="Z1567" s="978">
        <f t="shared" si="443"/>
        <v>0</v>
      </c>
      <c r="AA1567" s="975">
        <f t="shared" si="443"/>
        <v>22</v>
      </c>
      <c r="AB1567" s="978">
        <f t="shared" si="443"/>
        <v>21953000</v>
      </c>
      <c r="AC1567" s="979"/>
      <c r="AD1567" s="979"/>
      <c r="AE1567" s="975" t="str">
        <f t="shared" si="443"/>
        <v>BKPSDM</v>
      </c>
    </row>
    <row r="1568" spans="1:31" s="934" customFormat="1" ht="93" customHeight="1">
      <c r="A1568" s="988"/>
      <c r="B1568" s="990" t="s">
        <v>1247</v>
      </c>
      <c r="C1568" s="963">
        <v>3</v>
      </c>
      <c r="D1568" s="964" t="s">
        <v>107</v>
      </c>
      <c r="E1568" s="936" t="s">
        <v>95</v>
      </c>
      <c r="F1568" s="964" t="s">
        <v>66</v>
      </c>
      <c r="G1568" s="964" t="s">
        <v>197</v>
      </c>
      <c r="H1568" s="938" t="s">
        <v>66</v>
      </c>
      <c r="I1568" s="965" t="s">
        <v>950</v>
      </c>
      <c r="J1568" s="965" t="s">
        <v>1307</v>
      </c>
      <c r="K1568" s="980">
        <v>66</v>
      </c>
      <c r="L1568" s="925">
        <v>113071000</v>
      </c>
      <c r="M1568" s="922">
        <v>22</v>
      </c>
      <c r="N1568" s="926">
        <v>21953000</v>
      </c>
      <c r="O1568" s="924">
        <v>11</v>
      </c>
      <c r="P1568" s="930">
        <v>14918220</v>
      </c>
      <c r="Q1568" s="922">
        <v>0</v>
      </c>
      <c r="R1568" s="925">
        <v>0</v>
      </c>
      <c r="S1568" s="922"/>
      <c r="T1568" s="922"/>
      <c r="U1568" s="922"/>
      <c r="V1568" s="922"/>
      <c r="W1568" s="922"/>
      <c r="X1568" s="922"/>
      <c r="Y1568" s="922">
        <f>Q1568</f>
        <v>0</v>
      </c>
      <c r="Z1568" s="925">
        <f>R1568</f>
        <v>0</v>
      </c>
      <c r="AA1568" s="922">
        <f>M1568+Y1568</f>
        <v>22</v>
      </c>
      <c r="AB1568" s="931">
        <f t="shared" si="430"/>
        <v>21953000</v>
      </c>
      <c r="AC1568" s="933">
        <f>(AA1568/K1568)*100</f>
        <v>33.333333333333329</v>
      </c>
      <c r="AD1568" s="933">
        <f t="shared" si="436"/>
        <v>19.415234675557834</v>
      </c>
      <c r="AE1568" s="922" t="s">
        <v>1232</v>
      </c>
    </row>
    <row r="1569" spans="1:31" s="934" customFormat="1" ht="15">
      <c r="A1569" s="2608" t="s">
        <v>89</v>
      </c>
      <c r="B1569" s="2609"/>
      <c r="C1569" s="2609"/>
      <c r="D1569" s="2609"/>
      <c r="E1569" s="2609"/>
      <c r="F1569" s="2609"/>
      <c r="G1569" s="2609"/>
      <c r="H1569" s="2609"/>
      <c r="I1569" s="2609"/>
      <c r="J1569" s="2609"/>
      <c r="K1569" s="2609"/>
      <c r="L1569" s="2609"/>
      <c r="M1569" s="2609"/>
      <c r="N1569" s="2609"/>
      <c r="O1569" s="2609"/>
      <c r="P1569" s="2609"/>
      <c r="Q1569" s="2609"/>
      <c r="R1569" s="2609"/>
      <c r="S1569" s="2609"/>
      <c r="T1569" s="2609"/>
      <c r="U1569" s="2609"/>
      <c r="V1569" s="2609"/>
      <c r="W1569" s="2609"/>
      <c r="X1569" s="2609"/>
      <c r="Y1569" s="2609"/>
      <c r="Z1569" s="2609"/>
      <c r="AA1569" s="2609"/>
      <c r="AB1569" s="2610"/>
      <c r="AC1569" s="20">
        <f>AVERAGE(AC1522:AC1568)</f>
        <v>39.370330430907202</v>
      </c>
      <c r="AD1569" s="20">
        <f>AVERAGE(AD1522:AD1568)</f>
        <v>31.352266294759126</v>
      </c>
      <c r="AE1569" s="981"/>
    </row>
    <row r="1570" spans="1:31" s="934" customFormat="1" ht="15">
      <c r="A1570" s="2608" t="s">
        <v>90</v>
      </c>
      <c r="B1570" s="2609"/>
      <c r="C1570" s="2609"/>
      <c r="D1570" s="2609"/>
      <c r="E1570" s="2609"/>
      <c r="F1570" s="2609"/>
      <c r="G1570" s="2609"/>
      <c r="H1570" s="2609"/>
      <c r="I1570" s="2609"/>
      <c r="J1570" s="2609"/>
      <c r="K1570" s="2609"/>
      <c r="L1570" s="2609"/>
      <c r="M1570" s="2609"/>
      <c r="N1570" s="2609"/>
      <c r="O1570" s="2609"/>
      <c r="P1570" s="2609"/>
      <c r="Q1570" s="2609"/>
      <c r="R1570" s="2609"/>
      <c r="S1570" s="2609"/>
      <c r="T1570" s="2609"/>
      <c r="U1570" s="2609"/>
      <c r="V1570" s="2609"/>
      <c r="W1570" s="2609"/>
      <c r="X1570" s="2609"/>
      <c r="Y1570" s="2609"/>
      <c r="Z1570" s="2609"/>
      <c r="AA1570" s="2609"/>
      <c r="AB1570" s="2610"/>
      <c r="AC1570" s="22" t="str">
        <f>IF(AC1569&gt;=45,"ST",IF(AC1569&gt;=38,"T",IF(AC1569&gt;=32,"S",IF(AC1569&gt;=25,"R","SR"))))</f>
        <v>T</v>
      </c>
      <c r="AD1570" s="22" t="str">
        <f>IF(AD1569&gt;=45,"ST",IF(AD1569&gt;=38,"T",IF(AD1569&gt;=32,"S",IF(AD1569&gt;=25,"R","SR"))))</f>
        <v>R</v>
      </c>
      <c r="AE1570" s="981"/>
    </row>
    <row r="1571" spans="1:31" s="40" customFormat="1" ht="17.25">
      <c r="A1571" s="2598" t="s">
        <v>100</v>
      </c>
      <c r="B1571" s="2599"/>
      <c r="C1571" s="2599"/>
      <c r="D1571" s="2599"/>
      <c r="E1571" s="2599"/>
      <c r="F1571" s="2599"/>
      <c r="G1571" s="2599"/>
      <c r="H1571" s="2599"/>
      <c r="I1571" s="2599"/>
      <c r="J1571" s="2599"/>
      <c r="K1571" s="2599"/>
      <c r="L1571" s="2599"/>
      <c r="M1571" s="2599"/>
      <c r="N1571" s="2599"/>
      <c r="O1571" s="2600"/>
      <c r="P1571" s="982" t="e">
        <f>#REF!+P1528+P1540+P1545+P1548+P1561+P1567</f>
        <v>#REF!</v>
      </c>
      <c r="Q1571" s="2611"/>
      <c r="R1571" s="2612"/>
      <c r="S1571" s="2612"/>
      <c r="T1571" s="2612"/>
      <c r="U1571" s="2612"/>
      <c r="V1571" s="2612"/>
      <c r="W1571" s="2612"/>
      <c r="X1571" s="2612"/>
      <c r="Y1571" s="2612"/>
      <c r="Z1571" s="2612"/>
      <c r="AA1571" s="2613"/>
      <c r="AB1571" s="982" t="e">
        <f>#REF!+AB1528+AB1540+AB1545+AB1548+AB1561+AB1567</f>
        <v>#REF!</v>
      </c>
      <c r="AC1571" s="983"/>
      <c r="AD1571" s="983"/>
      <c r="AE1571" s="983"/>
    </row>
    <row r="1572" spans="1:31" s="40" customFormat="1" ht="15">
      <c r="A1572" s="2598" t="s">
        <v>101</v>
      </c>
      <c r="B1572" s="2599"/>
      <c r="C1572" s="2599"/>
      <c r="D1572" s="2599"/>
      <c r="E1572" s="2599"/>
      <c r="F1572" s="2599"/>
      <c r="G1572" s="2599"/>
      <c r="H1572" s="2599"/>
      <c r="I1572" s="2599"/>
      <c r="J1572" s="2599"/>
      <c r="K1572" s="2599"/>
      <c r="L1572" s="2599"/>
      <c r="M1572" s="2599"/>
      <c r="N1572" s="2599"/>
      <c r="O1572" s="2599"/>
      <c r="P1572" s="2599"/>
      <c r="Q1572" s="2599"/>
      <c r="R1572" s="2599"/>
      <c r="S1572" s="2599"/>
      <c r="T1572" s="2599"/>
      <c r="U1572" s="2599"/>
      <c r="V1572" s="2599"/>
      <c r="W1572" s="2599"/>
      <c r="X1572" s="2599"/>
      <c r="Y1572" s="2599"/>
      <c r="Z1572" s="2599"/>
      <c r="AA1572" s="2599"/>
      <c r="AB1572" s="2600"/>
      <c r="AC1572" s="984">
        <f>AVERAGE(AD1522:AD1568)</f>
        <v>31.352266294759126</v>
      </c>
      <c r="AD1572" s="984" t="e">
        <f>(AB1571/P1571)*100</f>
        <v>#REF!</v>
      </c>
      <c r="AE1572" s="983"/>
    </row>
    <row r="1573" spans="1:31" s="69" customFormat="1" ht="35.25" customHeight="1">
      <c r="A1573" s="67">
        <v>35</v>
      </c>
      <c r="B1573" s="67"/>
      <c r="C1573" s="67"/>
      <c r="D1573" s="67"/>
      <c r="E1573" s="67"/>
      <c r="F1573" s="67"/>
      <c r="G1573" s="67"/>
      <c r="H1573" s="67"/>
      <c r="I1573" s="68" t="s">
        <v>1017</v>
      </c>
      <c r="J1573" s="67"/>
      <c r="K1573" s="67"/>
      <c r="L1573" s="67"/>
      <c r="M1573" s="67"/>
      <c r="N1573" s="67"/>
      <c r="O1573" s="67"/>
      <c r="P1573" s="67"/>
      <c r="Q1573" s="67"/>
      <c r="R1573" s="67"/>
      <c r="S1573" s="67"/>
      <c r="T1573" s="67"/>
      <c r="U1573" s="67"/>
      <c r="V1573" s="67"/>
      <c r="W1573" s="67"/>
      <c r="X1573" s="67"/>
      <c r="Y1573" s="366"/>
      <c r="Z1573" s="67"/>
      <c r="AA1573" s="67"/>
      <c r="AB1573" s="67"/>
      <c r="AC1573" s="67"/>
      <c r="AD1573" s="67"/>
      <c r="AE1573" s="67"/>
    </row>
    <row r="1574" spans="1:31">
      <c r="A1574" s="64"/>
      <c r="B1574" s="64"/>
      <c r="C1574" s="64"/>
      <c r="D1574" s="64"/>
      <c r="E1574" s="64"/>
      <c r="F1574" s="64"/>
      <c r="G1574" s="64"/>
      <c r="H1574" s="64"/>
      <c r="I1574" s="64"/>
      <c r="J1574" s="64"/>
      <c r="K1574" s="64"/>
      <c r="L1574" s="64"/>
      <c r="M1574" s="64"/>
      <c r="N1574" s="64"/>
      <c r="O1574" s="64"/>
      <c r="P1574" s="64"/>
      <c r="Q1574" s="64"/>
      <c r="R1574" s="64"/>
      <c r="S1574" s="64"/>
      <c r="T1574" s="64"/>
      <c r="U1574" s="64"/>
      <c r="V1574" s="64"/>
      <c r="W1574" s="64"/>
      <c r="X1574" s="64"/>
      <c r="Y1574" s="729"/>
      <c r="Z1574" s="64"/>
      <c r="AA1574" s="64"/>
      <c r="AB1574" s="64"/>
      <c r="AC1574" s="64"/>
      <c r="AD1574" s="64"/>
      <c r="AE1574" s="64"/>
    </row>
    <row r="1575" spans="1:31" s="69" customFormat="1" ht="35.25" customHeight="1">
      <c r="A1575" s="67">
        <v>36</v>
      </c>
      <c r="B1575" s="67"/>
      <c r="C1575" s="67"/>
      <c r="D1575" s="67"/>
      <c r="E1575" s="67"/>
      <c r="F1575" s="67"/>
      <c r="G1575" s="67"/>
      <c r="H1575" s="67"/>
      <c r="I1575" s="68" t="s">
        <v>908</v>
      </c>
      <c r="J1575" s="67"/>
      <c r="K1575" s="67"/>
      <c r="L1575" s="67"/>
      <c r="M1575" s="67"/>
      <c r="N1575" s="67"/>
      <c r="O1575" s="67"/>
      <c r="P1575" s="67"/>
      <c r="Q1575" s="67"/>
      <c r="R1575" s="67"/>
      <c r="S1575" s="67"/>
      <c r="T1575" s="67"/>
      <c r="U1575" s="67"/>
      <c r="V1575" s="67"/>
      <c r="W1575" s="67"/>
      <c r="X1575" s="67"/>
      <c r="Y1575" s="366"/>
      <c r="Z1575" s="67"/>
      <c r="AA1575" s="67"/>
      <c r="AB1575" s="67"/>
      <c r="AC1575" s="67"/>
      <c r="AD1575" s="67"/>
      <c r="AE1575" s="67"/>
    </row>
    <row r="1576" spans="1:31" s="69" customFormat="1" ht="33.75" customHeight="1">
      <c r="A1576" s="72"/>
      <c r="B1576" s="72"/>
      <c r="C1576" s="72"/>
      <c r="D1576" s="72"/>
      <c r="E1576" s="72"/>
      <c r="F1576" s="72"/>
      <c r="G1576" s="72"/>
      <c r="H1576" s="72"/>
      <c r="I1576" s="73" t="s">
        <v>1018</v>
      </c>
      <c r="J1576" s="72"/>
      <c r="K1576" s="72"/>
      <c r="L1576" s="72"/>
      <c r="M1576" s="72"/>
      <c r="N1576" s="72"/>
      <c r="O1576" s="72"/>
      <c r="P1576" s="72"/>
      <c r="Q1576" s="72"/>
      <c r="R1576" s="72"/>
      <c r="S1576" s="72"/>
      <c r="T1576" s="72"/>
      <c r="U1576" s="72"/>
      <c r="V1576" s="72"/>
      <c r="W1576" s="72"/>
      <c r="X1576" s="72"/>
      <c r="Y1576" s="561"/>
      <c r="Z1576" s="72"/>
      <c r="AA1576" s="72"/>
      <c r="AB1576" s="72"/>
      <c r="AC1576" s="72"/>
      <c r="AD1576" s="72"/>
      <c r="AE1576" s="72"/>
    </row>
    <row r="1577" spans="1:31" s="69" customFormat="1" ht="24.75" customHeight="1">
      <c r="A1577" s="67">
        <v>37</v>
      </c>
      <c r="B1577" s="67"/>
      <c r="C1577" s="67"/>
      <c r="D1577" s="67"/>
      <c r="E1577" s="67"/>
      <c r="F1577" s="67"/>
      <c r="G1577" s="67"/>
      <c r="H1577" s="67"/>
      <c r="I1577" s="68" t="s">
        <v>1019</v>
      </c>
      <c r="J1577" s="67"/>
      <c r="K1577" s="67"/>
      <c r="L1577" s="67"/>
      <c r="M1577" s="67"/>
      <c r="N1577" s="67"/>
      <c r="O1577" s="67"/>
      <c r="P1577" s="67"/>
      <c r="Q1577" s="67"/>
      <c r="R1577" s="67"/>
      <c r="S1577" s="67"/>
      <c r="T1577" s="67"/>
      <c r="U1577" s="67"/>
      <c r="V1577" s="67"/>
      <c r="W1577" s="67"/>
      <c r="X1577" s="67"/>
      <c r="Y1577" s="366"/>
      <c r="Z1577" s="67"/>
      <c r="AA1577" s="67"/>
      <c r="AB1577" s="67"/>
      <c r="AC1577" s="67"/>
      <c r="AD1577" s="67"/>
      <c r="AE1577" s="67"/>
    </row>
    <row r="1578" spans="1:31" ht="17.25" customHeight="1">
      <c r="A1578" s="1922">
        <v>1</v>
      </c>
      <c r="B1578" s="1923" t="s">
        <v>2510</v>
      </c>
      <c r="C1578" s="1924">
        <v>4</v>
      </c>
      <c r="D1578" s="1925" t="s">
        <v>107</v>
      </c>
      <c r="E1578" s="1925" t="s">
        <v>66</v>
      </c>
      <c r="F1578" s="1925" t="s">
        <v>66</v>
      </c>
      <c r="G1578" s="1926"/>
      <c r="H1578" s="1926"/>
      <c r="I1578" s="1926" t="s">
        <v>221</v>
      </c>
      <c r="J1578" s="1927" t="s">
        <v>2511</v>
      </c>
      <c r="K1578" s="1928">
        <v>540</v>
      </c>
      <c r="L1578" s="1929">
        <f>SUM(L1579:L1593)</f>
        <v>41145348440</v>
      </c>
      <c r="M1578" s="1930">
        <f>85+85</f>
        <v>170</v>
      </c>
      <c r="N1578" s="1929">
        <f>SUM(N1579:N1593)</f>
        <v>9136228552</v>
      </c>
      <c r="O1578" s="1928">
        <v>85</v>
      </c>
      <c r="P1578" s="1931">
        <f>SUM(P1579:P1593)</f>
        <v>5650886503</v>
      </c>
      <c r="Q1578" s="1932">
        <v>25</v>
      </c>
      <c r="R1578" s="1933">
        <f>SUM(R1579:R1593)</f>
        <v>1163633893</v>
      </c>
      <c r="S1578" s="1957"/>
      <c r="T1578" s="1957"/>
      <c r="U1578" s="1957"/>
      <c r="V1578" s="1957"/>
      <c r="W1578" s="1957"/>
      <c r="X1578" s="1957"/>
      <c r="Y1578" s="1932">
        <f t="shared" ref="Y1578:Z1593" si="444">Q1578</f>
        <v>25</v>
      </c>
      <c r="Z1578" s="1933">
        <f t="shared" si="444"/>
        <v>1163633893</v>
      </c>
      <c r="AA1578" s="1932">
        <f t="shared" ref="AA1578:AA1593" si="445">M1578+Q1578</f>
        <v>195</v>
      </c>
      <c r="AB1578" s="1933">
        <f>N1578+Z1578</f>
        <v>10299862445</v>
      </c>
      <c r="AC1578" s="1929">
        <f>AA1578/K1578*100</f>
        <v>36.111111111111107</v>
      </c>
      <c r="AD1578" s="1934">
        <f>AB1578/L1578*100</f>
        <v>25.032872087642478</v>
      </c>
      <c r="AE1578" s="1957"/>
    </row>
    <row r="1579" spans="1:31" s="69" customFormat="1" ht="24.75" customHeight="1">
      <c r="A1579" s="497"/>
      <c r="B1579" s="383"/>
      <c r="C1579" s="1935">
        <v>4</v>
      </c>
      <c r="D1579" s="1236" t="s">
        <v>107</v>
      </c>
      <c r="E1579" s="1236" t="s">
        <v>66</v>
      </c>
      <c r="F1579" s="1236" t="s">
        <v>66</v>
      </c>
      <c r="G1579" s="1236" t="s">
        <v>66</v>
      </c>
      <c r="H1579" s="383"/>
      <c r="I1579" s="1936" t="s">
        <v>2420</v>
      </c>
      <c r="J1579" s="375" t="s">
        <v>2512</v>
      </c>
      <c r="K1579" s="1937">
        <f>12*6</f>
        <v>72</v>
      </c>
      <c r="L1579" s="1938">
        <v>1073600000</v>
      </c>
      <c r="M1579" s="1939">
        <v>24</v>
      </c>
      <c r="N1579" s="1940">
        <f>156028900+161345160</f>
        <v>317374060</v>
      </c>
      <c r="O1579" s="1938">
        <v>12</v>
      </c>
      <c r="P1579" s="1941">
        <v>106839619</v>
      </c>
      <c r="Q1579" s="1939">
        <v>3</v>
      </c>
      <c r="R1579" s="1940">
        <v>32058500</v>
      </c>
      <c r="S1579" s="1945"/>
      <c r="T1579" s="64"/>
      <c r="U1579" s="64"/>
      <c r="V1579" s="64"/>
      <c r="W1579" s="64"/>
      <c r="X1579" s="64"/>
      <c r="Y1579" s="1939">
        <f t="shared" si="444"/>
        <v>3</v>
      </c>
      <c r="Z1579" s="1942">
        <f t="shared" si="444"/>
        <v>32058500</v>
      </c>
      <c r="AA1579" s="1943">
        <f>M1579+Y1579</f>
        <v>27</v>
      </c>
      <c r="AB1579" s="1944">
        <f t="shared" ref="AB1579:AB1593" si="446">N1579+Z1579</f>
        <v>349432560</v>
      </c>
      <c r="AC1579" s="1945">
        <f t="shared" ref="AC1579:AD1593" si="447">AA1579/K1579*100</f>
        <v>37.5</v>
      </c>
      <c r="AD1579" s="1946">
        <f>AB1579/L1579*100</f>
        <v>32.547742175856932</v>
      </c>
      <c r="AE1579" s="64" t="s">
        <v>2513</v>
      </c>
    </row>
    <row r="1580" spans="1:31" ht="18" customHeight="1">
      <c r="A1580" s="497"/>
      <c r="B1580" s="383"/>
      <c r="C1580" s="1935">
        <v>4</v>
      </c>
      <c r="D1580" s="1236" t="s">
        <v>107</v>
      </c>
      <c r="E1580" s="1236" t="s">
        <v>66</v>
      </c>
      <c r="F1580" s="1236" t="s">
        <v>66</v>
      </c>
      <c r="G1580" s="1236" t="s">
        <v>65</v>
      </c>
      <c r="H1580" s="383"/>
      <c r="I1580" s="1936" t="s">
        <v>147</v>
      </c>
      <c r="J1580" s="741" t="s">
        <v>2514</v>
      </c>
      <c r="K1580" s="1937">
        <f>12*6</f>
        <v>72</v>
      </c>
      <c r="L1580" s="1947">
        <v>5700000000</v>
      </c>
      <c r="M1580" s="1939">
        <v>24</v>
      </c>
      <c r="N1580" s="1940">
        <f>872357172+775707224</f>
        <v>1648064396</v>
      </c>
      <c r="O1580" s="1938">
        <v>12</v>
      </c>
      <c r="P1580" s="1941">
        <v>665000000</v>
      </c>
      <c r="Q1580" s="1939">
        <v>3</v>
      </c>
      <c r="R1580" s="1940">
        <v>229157343</v>
      </c>
      <c r="S1580" s="1945"/>
      <c r="T1580" s="64"/>
      <c r="U1580" s="64"/>
      <c r="V1580" s="64"/>
      <c r="W1580" s="64"/>
      <c r="X1580" s="64"/>
      <c r="Y1580" s="1939">
        <f t="shared" si="444"/>
        <v>3</v>
      </c>
      <c r="Z1580" s="1942">
        <f t="shared" si="444"/>
        <v>229157343</v>
      </c>
      <c r="AA1580" s="1939">
        <f t="shared" si="445"/>
        <v>27</v>
      </c>
      <c r="AB1580" s="1944">
        <f t="shared" si="446"/>
        <v>1877221739</v>
      </c>
      <c r="AC1580" s="1945">
        <f t="shared" si="447"/>
        <v>37.5</v>
      </c>
      <c r="AD1580" s="1946">
        <f t="shared" si="447"/>
        <v>32.933714719298244</v>
      </c>
      <c r="AE1580" s="64" t="s">
        <v>2513</v>
      </c>
    </row>
    <row r="1581" spans="1:31" s="69" customFormat="1" ht="33.75" customHeight="1">
      <c r="A1581" s="497"/>
      <c r="B1581" s="383"/>
      <c r="C1581" s="1935">
        <v>4</v>
      </c>
      <c r="D1581" s="1236" t="s">
        <v>107</v>
      </c>
      <c r="E1581" s="1236" t="s">
        <v>66</v>
      </c>
      <c r="F1581" s="1236" t="s">
        <v>66</v>
      </c>
      <c r="G1581" s="1236" t="s">
        <v>196</v>
      </c>
      <c r="H1581" s="383"/>
      <c r="I1581" s="1936" t="s">
        <v>1285</v>
      </c>
      <c r="J1581" s="741" t="s">
        <v>2515</v>
      </c>
      <c r="K1581" s="1938">
        <v>600</v>
      </c>
      <c r="L1581" s="1947">
        <v>2152000000</v>
      </c>
      <c r="M1581" s="1943">
        <v>200</v>
      </c>
      <c r="N1581" s="1940">
        <f>164051000+192951200</f>
        <v>357002200</v>
      </c>
      <c r="O1581" s="1938">
        <v>100</v>
      </c>
      <c r="P1581" s="1941">
        <v>194910400</v>
      </c>
      <c r="Q1581" s="1939">
        <v>8</v>
      </c>
      <c r="R1581" s="1940">
        <v>10400000</v>
      </c>
      <c r="S1581" s="1945"/>
      <c r="T1581" s="64"/>
      <c r="U1581" s="64"/>
      <c r="V1581" s="64"/>
      <c r="W1581" s="64"/>
      <c r="X1581" s="64"/>
      <c r="Y1581" s="1939">
        <f t="shared" si="444"/>
        <v>8</v>
      </c>
      <c r="Z1581" s="1942">
        <f t="shared" si="444"/>
        <v>10400000</v>
      </c>
      <c r="AA1581" s="1939">
        <f>M1581+Q1581</f>
        <v>208</v>
      </c>
      <c r="AB1581" s="1944">
        <f t="shared" si="446"/>
        <v>367402200</v>
      </c>
      <c r="AC1581" s="1945">
        <f t="shared" si="447"/>
        <v>34.666666666666671</v>
      </c>
      <c r="AD1581" s="1946">
        <f t="shared" si="447"/>
        <v>17.072592936802973</v>
      </c>
      <c r="AE1581" s="64" t="s">
        <v>2513</v>
      </c>
    </row>
    <row r="1582" spans="1:31" s="69" customFormat="1" ht="21" customHeight="1">
      <c r="A1582" s="497"/>
      <c r="B1582" s="383"/>
      <c r="C1582" s="1935">
        <v>4</v>
      </c>
      <c r="D1582" s="1236" t="s">
        <v>107</v>
      </c>
      <c r="E1582" s="1236" t="s">
        <v>66</v>
      </c>
      <c r="F1582" s="1236" t="s">
        <v>66</v>
      </c>
      <c r="G1582" s="1236" t="s">
        <v>198</v>
      </c>
      <c r="H1582" s="383"/>
      <c r="I1582" s="741" t="s">
        <v>1287</v>
      </c>
      <c r="J1582" s="741" t="s">
        <v>1436</v>
      </c>
      <c r="K1582" s="1937">
        <f>12*6</f>
        <v>72</v>
      </c>
      <c r="L1582" s="1947">
        <v>2325000000</v>
      </c>
      <c r="M1582" s="1939">
        <v>24</v>
      </c>
      <c r="N1582" s="1940">
        <f>303962099+278756100</f>
        <v>582718199</v>
      </c>
      <c r="O1582" s="1938">
        <v>12</v>
      </c>
      <c r="P1582" s="1941">
        <v>233583142.25</v>
      </c>
      <c r="Q1582" s="1939">
        <v>3</v>
      </c>
      <c r="R1582" s="1940">
        <v>38704900</v>
      </c>
      <c r="S1582" s="1945"/>
      <c r="T1582" s="64"/>
      <c r="U1582" s="64"/>
      <c r="V1582" s="64"/>
      <c r="W1582" s="64"/>
      <c r="X1582" s="64"/>
      <c r="Y1582" s="1939">
        <f t="shared" si="444"/>
        <v>3</v>
      </c>
      <c r="Z1582" s="1942">
        <f t="shared" si="444"/>
        <v>38704900</v>
      </c>
      <c r="AA1582" s="1939">
        <f t="shared" si="445"/>
        <v>27</v>
      </c>
      <c r="AB1582" s="1944">
        <f t="shared" si="446"/>
        <v>621423099</v>
      </c>
      <c r="AC1582" s="1945">
        <f t="shared" si="447"/>
        <v>37.5</v>
      </c>
      <c r="AD1582" s="1946">
        <f>AB1582/L1582*100</f>
        <v>26.727875225806454</v>
      </c>
      <c r="AE1582" s="64" t="s">
        <v>2516</v>
      </c>
    </row>
    <row r="1583" spans="1:31" s="656" customFormat="1" ht="28.5" customHeight="1">
      <c r="A1583" s="497"/>
      <c r="B1583" s="383"/>
      <c r="C1583" s="1935">
        <v>4</v>
      </c>
      <c r="D1583" s="1236" t="s">
        <v>107</v>
      </c>
      <c r="E1583" s="1236" t="s">
        <v>66</v>
      </c>
      <c r="F1583" s="1236" t="s">
        <v>66</v>
      </c>
      <c r="G1583" s="1236" t="s">
        <v>93</v>
      </c>
      <c r="H1583" s="383"/>
      <c r="I1583" s="1936" t="s">
        <v>149</v>
      </c>
      <c r="J1583" s="1948" t="s">
        <v>2517</v>
      </c>
      <c r="K1583" s="1937">
        <f>12*6</f>
        <v>72</v>
      </c>
      <c r="L1583" s="1947">
        <v>2712200000</v>
      </c>
      <c r="M1583" s="1939">
        <v>24</v>
      </c>
      <c r="N1583" s="1940">
        <f>335582000+323022600</f>
        <v>658604600</v>
      </c>
      <c r="O1583" s="1938">
        <v>12</v>
      </c>
      <c r="P1583" s="1941">
        <v>360000000</v>
      </c>
      <c r="Q1583" s="1939">
        <v>3</v>
      </c>
      <c r="R1583" s="1940">
        <v>700000</v>
      </c>
      <c r="S1583" s="1945"/>
      <c r="T1583" s="64"/>
      <c r="U1583" s="64"/>
      <c r="V1583" s="64"/>
      <c r="W1583" s="64"/>
      <c r="X1583" s="64"/>
      <c r="Y1583" s="1939">
        <f t="shared" si="444"/>
        <v>3</v>
      </c>
      <c r="Z1583" s="1942">
        <f t="shared" si="444"/>
        <v>700000</v>
      </c>
      <c r="AA1583" s="1939">
        <f t="shared" si="445"/>
        <v>27</v>
      </c>
      <c r="AB1583" s="1944">
        <f t="shared" si="446"/>
        <v>659304600</v>
      </c>
      <c r="AC1583" s="1945">
        <f t="shared" si="447"/>
        <v>37.5</v>
      </c>
      <c r="AD1583" s="1946">
        <f t="shared" si="447"/>
        <v>24.308848904948015</v>
      </c>
      <c r="AE1583" s="64" t="s">
        <v>2513</v>
      </c>
    </row>
    <row r="1584" spans="1:31" s="63" customFormat="1" ht="17.25" customHeight="1">
      <c r="A1584" s="497"/>
      <c r="B1584" s="383"/>
      <c r="C1584" s="1935">
        <v>4</v>
      </c>
      <c r="D1584" s="1236" t="s">
        <v>107</v>
      </c>
      <c r="E1584" s="1236" t="s">
        <v>66</v>
      </c>
      <c r="F1584" s="1236" t="s">
        <v>66</v>
      </c>
      <c r="G1584" s="1236" t="s">
        <v>201</v>
      </c>
      <c r="H1584" s="383"/>
      <c r="I1584" s="1936" t="s">
        <v>1410</v>
      </c>
      <c r="J1584" s="741" t="s">
        <v>2518</v>
      </c>
      <c r="K1584" s="1949">
        <v>600</v>
      </c>
      <c r="L1584" s="1947">
        <v>723500000</v>
      </c>
      <c r="M1584" s="1943">
        <v>200</v>
      </c>
      <c r="N1584" s="1940">
        <f>87158000+74900000</f>
        <v>162058000</v>
      </c>
      <c r="O1584" s="1949">
        <v>100</v>
      </c>
      <c r="P1584" s="1941">
        <v>59787200</v>
      </c>
      <c r="Q1584" s="1939">
        <v>40</v>
      </c>
      <c r="R1584" s="1940">
        <v>21219000</v>
      </c>
      <c r="S1584" s="1945"/>
      <c r="T1584" s="1942"/>
      <c r="U1584" s="64"/>
      <c r="V1584" s="64"/>
      <c r="W1584" s="64"/>
      <c r="X1584" s="64"/>
      <c r="Y1584" s="1939">
        <f t="shared" si="444"/>
        <v>40</v>
      </c>
      <c r="Z1584" s="1942">
        <f t="shared" si="444"/>
        <v>21219000</v>
      </c>
      <c r="AA1584" s="1939">
        <f t="shared" si="445"/>
        <v>240</v>
      </c>
      <c r="AB1584" s="1944">
        <f t="shared" si="446"/>
        <v>183277000</v>
      </c>
      <c r="AC1584" s="1945">
        <f t="shared" si="447"/>
        <v>40</v>
      </c>
      <c r="AD1584" s="1946">
        <f t="shared" si="447"/>
        <v>25.331997235659987</v>
      </c>
      <c r="AE1584" s="64" t="s">
        <v>2513</v>
      </c>
    </row>
    <row r="1585" spans="1:31" s="656" customFormat="1" ht="24.75" customHeight="1">
      <c r="A1585" s="497"/>
      <c r="B1585" s="383"/>
      <c r="C1585" s="1935">
        <v>4</v>
      </c>
      <c r="D1585" s="1236" t="s">
        <v>107</v>
      </c>
      <c r="E1585" s="1236" t="s">
        <v>66</v>
      </c>
      <c r="F1585" s="1236" t="s">
        <v>66</v>
      </c>
      <c r="G1585" s="1236" t="s">
        <v>160</v>
      </c>
      <c r="H1585" s="383"/>
      <c r="I1585" s="1936" t="s">
        <v>2519</v>
      </c>
      <c r="J1585" s="741" t="s">
        <v>2520</v>
      </c>
      <c r="K1585" s="1937">
        <v>600</v>
      </c>
      <c r="L1585" s="1947">
        <v>425800000</v>
      </c>
      <c r="M1585" s="1943">
        <v>200</v>
      </c>
      <c r="N1585" s="1940">
        <f>62968900+34143800</f>
        <v>97112700</v>
      </c>
      <c r="O1585" s="1938">
        <v>100</v>
      </c>
      <c r="P1585" s="1941">
        <v>67182000</v>
      </c>
      <c r="Q1585" s="1939">
        <v>20</v>
      </c>
      <c r="R1585" s="1940">
        <v>5507000</v>
      </c>
      <c r="S1585" s="1945"/>
      <c r="T1585" s="64"/>
      <c r="U1585" s="64"/>
      <c r="V1585" s="64"/>
      <c r="W1585" s="64"/>
      <c r="X1585" s="64"/>
      <c r="Y1585" s="1939">
        <f t="shared" si="444"/>
        <v>20</v>
      </c>
      <c r="Z1585" s="1942">
        <f t="shared" si="444"/>
        <v>5507000</v>
      </c>
      <c r="AA1585" s="1939">
        <f t="shared" si="445"/>
        <v>220</v>
      </c>
      <c r="AB1585" s="1944">
        <f t="shared" si="446"/>
        <v>102619700</v>
      </c>
      <c r="AC1585" s="1945">
        <f t="shared" si="447"/>
        <v>36.666666666666664</v>
      </c>
      <c r="AD1585" s="1946">
        <f t="shared" si="447"/>
        <v>24.100446218882105</v>
      </c>
      <c r="AE1585" s="64" t="s">
        <v>2513</v>
      </c>
    </row>
    <row r="1586" spans="1:31" s="63" customFormat="1" ht="17.25" customHeight="1">
      <c r="A1586" s="497"/>
      <c r="B1586" s="383"/>
      <c r="C1586" s="1935">
        <v>4</v>
      </c>
      <c r="D1586" s="1236" t="s">
        <v>107</v>
      </c>
      <c r="E1586" s="1236" t="s">
        <v>66</v>
      </c>
      <c r="F1586" s="1236" t="s">
        <v>66</v>
      </c>
      <c r="G1586" s="1236" t="s">
        <v>391</v>
      </c>
      <c r="H1586" s="383"/>
      <c r="I1586" s="1950" t="s">
        <v>238</v>
      </c>
      <c r="J1586" s="1951" t="s">
        <v>2521</v>
      </c>
      <c r="K1586" s="1937">
        <v>600</v>
      </c>
      <c r="L1586" s="1947">
        <v>355700000</v>
      </c>
      <c r="M1586" s="1939">
        <v>200</v>
      </c>
      <c r="N1586" s="1940">
        <f>56986500+43705750</f>
        <v>100692250</v>
      </c>
      <c r="O1586" s="1938">
        <v>100</v>
      </c>
      <c r="P1586" s="1941">
        <v>49336193</v>
      </c>
      <c r="Q1586" s="1939">
        <v>45</v>
      </c>
      <c r="R1586" s="1940">
        <v>15204000</v>
      </c>
      <c r="S1586" s="1945"/>
      <c r="T1586" s="64"/>
      <c r="U1586" s="64"/>
      <c r="V1586" s="64"/>
      <c r="W1586" s="64"/>
      <c r="X1586" s="64"/>
      <c r="Y1586" s="1939">
        <f t="shared" si="444"/>
        <v>45</v>
      </c>
      <c r="Z1586" s="1942">
        <f t="shared" si="444"/>
        <v>15204000</v>
      </c>
      <c r="AA1586" s="1939">
        <f t="shared" si="445"/>
        <v>245</v>
      </c>
      <c r="AB1586" s="1944">
        <f t="shared" si="446"/>
        <v>115896250</v>
      </c>
      <c r="AC1586" s="1945">
        <f t="shared" si="447"/>
        <v>40.833333333333336</v>
      </c>
      <c r="AD1586" s="1946">
        <f t="shared" si="447"/>
        <v>32.582583637897109</v>
      </c>
      <c r="AE1586" s="64" t="s">
        <v>2513</v>
      </c>
    </row>
    <row r="1587" spans="1:31" s="656" customFormat="1" ht="27" customHeight="1">
      <c r="A1587" s="497"/>
      <c r="B1587" s="383"/>
      <c r="C1587" s="1935">
        <v>4</v>
      </c>
      <c r="D1587" s="1236" t="s">
        <v>107</v>
      </c>
      <c r="E1587" s="1236" t="s">
        <v>66</v>
      </c>
      <c r="F1587" s="1236" t="s">
        <v>66</v>
      </c>
      <c r="G1587" s="1236" t="s">
        <v>448</v>
      </c>
      <c r="H1587" s="383"/>
      <c r="I1587" s="1936" t="s">
        <v>157</v>
      </c>
      <c r="J1587" s="741" t="s">
        <v>1445</v>
      </c>
      <c r="K1587" s="1937">
        <f>12*6</f>
        <v>72</v>
      </c>
      <c r="L1587" s="1947">
        <v>10172548440</v>
      </c>
      <c r="M1587" s="1939">
        <v>24</v>
      </c>
      <c r="N1587" s="1940">
        <f>2300031394+567872366</f>
        <v>2867903760</v>
      </c>
      <c r="O1587" s="1938">
        <v>12</v>
      </c>
      <c r="P1587" s="1941">
        <v>1651390200</v>
      </c>
      <c r="Q1587" s="1939">
        <v>3</v>
      </c>
      <c r="R1587" s="1940">
        <v>339088890</v>
      </c>
      <c r="S1587" s="1945"/>
      <c r="T1587" s="64"/>
      <c r="U1587" s="64"/>
      <c r="V1587" s="64"/>
      <c r="W1587" s="64"/>
      <c r="X1587" s="64"/>
      <c r="Y1587" s="1939">
        <f t="shared" si="444"/>
        <v>3</v>
      </c>
      <c r="Z1587" s="1942">
        <f t="shared" si="444"/>
        <v>339088890</v>
      </c>
      <c r="AA1587" s="1939">
        <f t="shared" si="445"/>
        <v>27</v>
      </c>
      <c r="AB1587" s="1944">
        <f t="shared" si="446"/>
        <v>3206992650</v>
      </c>
      <c r="AC1587" s="1945">
        <f t="shared" si="447"/>
        <v>37.5</v>
      </c>
      <c r="AD1587" s="1946">
        <f t="shared" si="447"/>
        <v>31.525951131278173</v>
      </c>
      <c r="AE1587" s="64" t="s">
        <v>2513</v>
      </c>
    </row>
    <row r="1588" spans="1:31" s="63" customFormat="1" ht="17.25" customHeight="1">
      <c r="A1588" s="497"/>
      <c r="B1588" s="383"/>
      <c r="C1588" s="1935">
        <v>4</v>
      </c>
      <c r="D1588" s="1236" t="s">
        <v>107</v>
      </c>
      <c r="E1588" s="1236" t="s">
        <v>66</v>
      </c>
      <c r="F1588" s="1236" t="s">
        <v>66</v>
      </c>
      <c r="G1588" s="1236" t="s">
        <v>167</v>
      </c>
      <c r="H1588" s="383"/>
      <c r="I1588" s="1936" t="s">
        <v>158</v>
      </c>
      <c r="J1588" s="741" t="s">
        <v>2522</v>
      </c>
      <c r="K1588" s="1937">
        <f>12*6</f>
        <v>72</v>
      </c>
      <c r="L1588" s="1947">
        <v>3850000000</v>
      </c>
      <c r="M1588" s="1939">
        <v>24</v>
      </c>
      <c r="N1588" s="1940">
        <f>680649474+505627301</f>
        <v>1186276775</v>
      </c>
      <c r="O1588" s="1938">
        <v>12</v>
      </c>
      <c r="P1588" s="1941">
        <v>238537600</v>
      </c>
      <c r="Q1588" s="1939">
        <v>3</v>
      </c>
      <c r="R1588" s="1940">
        <v>29704000</v>
      </c>
      <c r="S1588" s="1945"/>
      <c r="T1588" s="64"/>
      <c r="U1588" s="64"/>
      <c r="V1588" s="64"/>
      <c r="W1588" s="64"/>
      <c r="X1588" s="64"/>
      <c r="Y1588" s="1939">
        <f t="shared" si="444"/>
        <v>3</v>
      </c>
      <c r="Z1588" s="1942">
        <f t="shared" si="444"/>
        <v>29704000</v>
      </c>
      <c r="AA1588" s="1939">
        <f t="shared" si="445"/>
        <v>27</v>
      </c>
      <c r="AB1588" s="1944">
        <f t="shared" si="446"/>
        <v>1215980775</v>
      </c>
      <c r="AC1588" s="1945">
        <f t="shared" si="447"/>
        <v>37.5</v>
      </c>
      <c r="AD1588" s="1946">
        <f t="shared" si="447"/>
        <v>31.583916233766235</v>
      </c>
      <c r="AE1588" s="64" t="s">
        <v>2513</v>
      </c>
    </row>
    <row r="1589" spans="1:31" s="656" customFormat="1" ht="24.75" customHeight="1">
      <c r="A1589" s="497"/>
      <c r="B1589" s="383"/>
      <c r="C1589" s="1935">
        <v>4</v>
      </c>
      <c r="D1589" s="1236" t="s">
        <v>107</v>
      </c>
      <c r="E1589" s="1236" t="s">
        <v>66</v>
      </c>
      <c r="F1589" s="1236" t="s">
        <v>66</v>
      </c>
      <c r="G1589" s="1236" t="s">
        <v>376</v>
      </c>
      <c r="H1589" s="383"/>
      <c r="I1589" s="1936" t="s">
        <v>159</v>
      </c>
      <c r="J1589" s="741" t="s">
        <v>2523</v>
      </c>
      <c r="K1589" s="1937">
        <f>12*6</f>
        <v>72</v>
      </c>
      <c r="L1589" s="1947">
        <v>550000000</v>
      </c>
      <c r="M1589" s="1939">
        <v>24</v>
      </c>
      <c r="N1589" s="1940">
        <f>75275250+63109500</f>
        <v>138384750</v>
      </c>
      <c r="O1589" s="1938">
        <v>12</v>
      </c>
      <c r="P1589" s="1941">
        <v>73656000</v>
      </c>
      <c r="Q1589" s="1939">
        <v>3</v>
      </c>
      <c r="R1589" s="1940">
        <v>26772500</v>
      </c>
      <c r="S1589" s="1945"/>
      <c r="T1589" s="64"/>
      <c r="U1589" s="64"/>
      <c r="V1589" s="64"/>
      <c r="W1589" s="64"/>
      <c r="X1589" s="64"/>
      <c r="Y1589" s="1939">
        <f t="shared" si="444"/>
        <v>3</v>
      </c>
      <c r="Z1589" s="1942">
        <f t="shared" si="444"/>
        <v>26772500</v>
      </c>
      <c r="AA1589" s="1939">
        <f t="shared" si="445"/>
        <v>27</v>
      </c>
      <c r="AB1589" s="1944">
        <f t="shared" si="446"/>
        <v>165157250</v>
      </c>
      <c r="AC1589" s="1945">
        <f t="shared" si="447"/>
        <v>37.5</v>
      </c>
      <c r="AD1589" s="1946">
        <f t="shared" si="447"/>
        <v>30.028590909090909</v>
      </c>
      <c r="AE1589" s="64" t="s">
        <v>2513</v>
      </c>
    </row>
    <row r="1590" spans="1:31" s="63" customFormat="1" ht="17.25" customHeight="1">
      <c r="A1590" s="497"/>
      <c r="B1590" s="383"/>
      <c r="C1590" s="1935">
        <v>4</v>
      </c>
      <c r="D1590" s="1236" t="s">
        <v>107</v>
      </c>
      <c r="E1590" s="1236" t="s">
        <v>66</v>
      </c>
      <c r="F1590" s="1236" t="s">
        <v>66</v>
      </c>
      <c r="G1590" s="1236" t="s">
        <v>163</v>
      </c>
      <c r="H1590" s="383"/>
      <c r="I1590" s="741" t="s">
        <v>2524</v>
      </c>
      <c r="J1590" s="1948" t="s">
        <v>2525</v>
      </c>
      <c r="K1590" s="1938">
        <f>6*6</f>
        <v>36</v>
      </c>
      <c r="L1590" s="1938">
        <v>1225000000</v>
      </c>
      <c r="M1590" s="1943">
        <v>12</v>
      </c>
      <c r="N1590" s="1940">
        <f>103022892+175571258</f>
        <v>278594150</v>
      </c>
      <c r="O1590" s="1938">
        <v>6</v>
      </c>
      <c r="P1590" s="1941">
        <v>65096698.5</v>
      </c>
      <c r="Q1590" s="1939">
        <v>2</v>
      </c>
      <c r="R1590" s="1940">
        <v>7324800</v>
      </c>
      <c r="S1590" s="1945"/>
      <c r="T1590" s="64"/>
      <c r="U1590" s="64"/>
      <c r="V1590" s="64"/>
      <c r="W1590" s="64"/>
      <c r="X1590" s="64"/>
      <c r="Y1590" s="1939">
        <f t="shared" si="444"/>
        <v>2</v>
      </c>
      <c r="Z1590" s="1942">
        <f t="shared" si="444"/>
        <v>7324800</v>
      </c>
      <c r="AA1590" s="1939">
        <f t="shared" si="445"/>
        <v>14</v>
      </c>
      <c r="AB1590" s="1944">
        <f t="shared" si="446"/>
        <v>285918950</v>
      </c>
      <c r="AC1590" s="1945">
        <f t="shared" si="447"/>
        <v>38.888888888888893</v>
      </c>
      <c r="AD1590" s="1946">
        <f t="shared" si="447"/>
        <v>23.340322448979592</v>
      </c>
      <c r="AE1590" s="64" t="s">
        <v>2516</v>
      </c>
    </row>
    <row r="1591" spans="1:31" s="656" customFormat="1" ht="29.25" customHeight="1">
      <c r="A1591" s="497"/>
      <c r="B1591" s="383"/>
      <c r="C1591" s="1935">
        <v>4</v>
      </c>
      <c r="D1591" s="1236" t="s">
        <v>107</v>
      </c>
      <c r="E1591" s="1236" t="s">
        <v>66</v>
      </c>
      <c r="F1591" s="1236" t="s">
        <v>66</v>
      </c>
      <c r="G1591" s="1236" t="s">
        <v>363</v>
      </c>
      <c r="H1591" s="383"/>
      <c r="I1591" s="741" t="s">
        <v>2526</v>
      </c>
      <c r="J1591" s="741" t="s">
        <v>2527</v>
      </c>
      <c r="K1591" s="1952">
        <f>12*5</f>
        <v>60</v>
      </c>
      <c r="L1591" s="1938">
        <v>960000000</v>
      </c>
      <c r="M1591" s="1939">
        <v>24</v>
      </c>
      <c r="N1591" s="1940">
        <v>174885200</v>
      </c>
      <c r="O1591" s="1952">
        <v>12</v>
      </c>
      <c r="P1591" s="1941">
        <v>166185686.25</v>
      </c>
      <c r="Q1591" s="1939">
        <v>12</v>
      </c>
      <c r="R1591" s="1940">
        <v>27000000</v>
      </c>
      <c r="S1591" s="1945"/>
      <c r="T1591" s="64"/>
      <c r="U1591" s="64"/>
      <c r="V1591" s="64"/>
      <c r="W1591" s="64"/>
      <c r="X1591" s="64"/>
      <c r="Y1591" s="1939">
        <v>12</v>
      </c>
      <c r="Z1591" s="1942">
        <f t="shared" si="444"/>
        <v>27000000</v>
      </c>
      <c r="AA1591" s="1939">
        <f>M1591+Q1591</f>
        <v>36</v>
      </c>
      <c r="AB1591" s="1944">
        <f t="shared" si="446"/>
        <v>201885200</v>
      </c>
      <c r="AC1591" s="1945">
        <f t="shared" si="447"/>
        <v>60</v>
      </c>
      <c r="AD1591" s="1946">
        <f t="shared" si="447"/>
        <v>21.029708333333332</v>
      </c>
      <c r="AE1591" s="64" t="s">
        <v>2516</v>
      </c>
    </row>
    <row r="1592" spans="1:31" s="63" customFormat="1" ht="17.25" customHeight="1">
      <c r="A1592" s="497"/>
      <c r="B1592" s="383"/>
      <c r="C1592" s="1935">
        <v>4</v>
      </c>
      <c r="D1592" s="1236" t="s">
        <v>107</v>
      </c>
      <c r="E1592" s="1236" t="s">
        <v>66</v>
      </c>
      <c r="F1592" s="1236" t="s">
        <v>66</v>
      </c>
      <c r="G1592" s="1236" t="s">
        <v>2381</v>
      </c>
      <c r="H1592" s="383"/>
      <c r="I1592" s="741" t="s">
        <v>2528</v>
      </c>
      <c r="J1592" s="741" t="s">
        <v>2529</v>
      </c>
      <c r="K1592" s="1938">
        <f>7*5</f>
        <v>35</v>
      </c>
      <c r="L1592" s="1938">
        <v>1120000000</v>
      </c>
      <c r="M1592" s="1939">
        <v>14</v>
      </c>
      <c r="N1592" s="1940">
        <v>183523758</v>
      </c>
      <c r="O1592" s="1938">
        <v>7</v>
      </c>
      <c r="P1592" s="1941">
        <v>209787764</v>
      </c>
      <c r="Q1592" s="1939">
        <v>2</v>
      </c>
      <c r="R1592" s="1940">
        <v>24948709</v>
      </c>
      <c r="S1592" s="1945"/>
      <c r="T1592" s="64"/>
      <c r="U1592" s="64"/>
      <c r="V1592" s="64"/>
      <c r="W1592" s="64"/>
      <c r="X1592" s="64"/>
      <c r="Y1592" s="1939">
        <f t="shared" si="444"/>
        <v>2</v>
      </c>
      <c r="Z1592" s="1942">
        <f t="shared" si="444"/>
        <v>24948709</v>
      </c>
      <c r="AA1592" s="1939">
        <f t="shared" si="445"/>
        <v>16</v>
      </c>
      <c r="AB1592" s="1944">
        <f t="shared" si="446"/>
        <v>208472467</v>
      </c>
      <c r="AC1592" s="1945">
        <f t="shared" si="447"/>
        <v>45.714285714285715</v>
      </c>
      <c r="AD1592" s="1946">
        <f t="shared" si="447"/>
        <v>18.613613125000001</v>
      </c>
      <c r="AE1592" s="64" t="s">
        <v>2516</v>
      </c>
    </row>
    <row r="1593" spans="1:31" s="656" customFormat="1" ht="24.75" customHeight="1">
      <c r="A1593" s="497"/>
      <c r="B1593" s="383"/>
      <c r="C1593" s="1935">
        <v>4</v>
      </c>
      <c r="D1593" s="1236" t="s">
        <v>107</v>
      </c>
      <c r="E1593" s="1236" t="s">
        <v>66</v>
      </c>
      <c r="F1593" s="1236" t="s">
        <v>66</v>
      </c>
      <c r="G1593" s="1236" t="s">
        <v>347</v>
      </c>
      <c r="H1593" s="383"/>
      <c r="I1593" s="741" t="s">
        <v>2530</v>
      </c>
      <c r="J1593" s="741" t="s">
        <v>2531</v>
      </c>
      <c r="K1593" s="1937">
        <f>12*4+6</f>
        <v>54</v>
      </c>
      <c r="L1593" s="1947">
        <v>7800000000</v>
      </c>
      <c r="M1593" s="1939">
        <v>6</v>
      </c>
      <c r="N1593" s="1940">
        <v>383033754</v>
      </c>
      <c r="O1593" s="1938">
        <v>12</v>
      </c>
      <c r="P1593" s="1941">
        <v>1509594000</v>
      </c>
      <c r="Q1593" s="1939">
        <v>3</v>
      </c>
      <c r="R1593" s="1940">
        <v>355844251</v>
      </c>
      <c r="S1593" s="1945"/>
      <c r="T1593" s="64"/>
      <c r="U1593" s="64"/>
      <c r="V1593" s="64"/>
      <c r="W1593" s="64"/>
      <c r="X1593" s="64"/>
      <c r="Y1593" s="1939">
        <f t="shared" si="444"/>
        <v>3</v>
      </c>
      <c r="Z1593" s="1942">
        <f t="shared" si="444"/>
        <v>355844251</v>
      </c>
      <c r="AA1593" s="1939">
        <f t="shared" si="445"/>
        <v>9</v>
      </c>
      <c r="AB1593" s="1944">
        <f t="shared" si="446"/>
        <v>738878005</v>
      </c>
      <c r="AC1593" s="1945">
        <f t="shared" si="447"/>
        <v>16.666666666666664</v>
      </c>
      <c r="AD1593" s="1946">
        <f t="shared" si="447"/>
        <v>9.4727949358974364</v>
      </c>
      <c r="AE1593" s="64" t="s">
        <v>2516</v>
      </c>
    </row>
    <row r="1594" spans="1:31" s="63" customFormat="1" ht="17.25" customHeight="1">
      <c r="A1594" s="2601" t="s">
        <v>2532</v>
      </c>
      <c r="B1594" s="2602"/>
      <c r="C1594" s="2602"/>
      <c r="D1594" s="2602"/>
      <c r="E1594" s="2602"/>
      <c r="F1594" s="2602"/>
      <c r="G1594" s="2602"/>
      <c r="H1594" s="2602"/>
      <c r="I1594" s="2602"/>
      <c r="J1594" s="2602"/>
      <c r="K1594" s="2602"/>
      <c r="L1594" s="2602"/>
      <c r="M1594" s="2602"/>
      <c r="N1594" s="2602"/>
      <c r="O1594" s="2602"/>
      <c r="P1594" s="2602"/>
      <c r="Q1594" s="2602"/>
      <c r="R1594" s="2602"/>
      <c r="S1594" s="2602"/>
      <c r="T1594" s="2602"/>
      <c r="U1594" s="2602"/>
      <c r="V1594" s="2602"/>
      <c r="W1594" s="2602"/>
      <c r="X1594" s="2602"/>
      <c r="Y1594" s="2602"/>
      <c r="Z1594" s="2602"/>
      <c r="AA1594" s="2602"/>
      <c r="AB1594" s="2603"/>
      <c r="AC1594" s="1963">
        <f>SUM(AC1579:AC1593)/15</f>
        <v>38.395767195767199</v>
      </c>
      <c r="AD1594" s="1963">
        <f>SUM(AD1579:AD1593)/15</f>
        <v>25.413379878166495</v>
      </c>
      <c r="AE1594" s="64"/>
    </row>
    <row r="1595" spans="1:31" s="656" customFormat="1" ht="29.25" customHeight="1">
      <c r="A1595" s="2601" t="s">
        <v>2533</v>
      </c>
      <c r="B1595" s="2602"/>
      <c r="C1595" s="2602"/>
      <c r="D1595" s="2602"/>
      <c r="E1595" s="2602"/>
      <c r="F1595" s="2602"/>
      <c r="G1595" s="2602"/>
      <c r="H1595" s="2602"/>
      <c r="I1595" s="2602"/>
      <c r="J1595" s="2602"/>
      <c r="K1595" s="2602"/>
      <c r="L1595" s="2602"/>
      <c r="M1595" s="2602"/>
      <c r="N1595" s="2602"/>
      <c r="O1595" s="2602"/>
      <c r="P1595" s="2602"/>
      <c r="Q1595" s="2602"/>
      <c r="R1595" s="2602"/>
      <c r="S1595" s="2602"/>
      <c r="T1595" s="2602"/>
      <c r="U1595" s="2602"/>
      <c r="V1595" s="2602"/>
      <c r="W1595" s="2602"/>
      <c r="X1595" s="2602"/>
      <c r="Y1595" s="2602"/>
      <c r="Z1595" s="2602"/>
      <c r="AA1595" s="2602"/>
      <c r="AB1595" s="2603"/>
      <c r="AC1595" s="2026" t="s">
        <v>2534</v>
      </c>
      <c r="AD1595" s="2026" t="s">
        <v>2534</v>
      </c>
      <c r="AE1595" s="64"/>
    </row>
    <row r="1596" spans="1:31" s="63" customFormat="1" ht="17.25" customHeight="1">
      <c r="A1596" s="1922">
        <v>2</v>
      </c>
      <c r="B1596" s="1923" t="s">
        <v>2510</v>
      </c>
      <c r="C1596" s="1924">
        <v>4</v>
      </c>
      <c r="D1596" s="1925" t="s">
        <v>107</v>
      </c>
      <c r="E1596" s="1925" t="s">
        <v>66</v>
      </c>
      <c r="F1596" s="1925" t="s">
        <v>65</v>
      </c>
      <c r="G1596" s="1926"/>
      <c r="H1596" s="1926"/>
      <c r="I1596" s="1923" t="s">
        <v>257</v>
      </c>
      <c r="J1596" s="1927" t="s">
        <v>2535</v>
      </c>
      <c r="K1596" s="1928">
        <v>540</v>
      </c>
      <c r="L1596" s="1953">
        <f>SUM(L1597:L1609)</f>
        <v>31855400000</v>
      </c>
      <c r="M1596" s="1930">
        <f>85+85</f>
        <v>170</v>
      </c>
      <c r="N1596" s="1953">
        <f>SUM(N1597:N1609)</f>
        <v>6277248531</v>
      </c>
      <c r="O1596" s="1954">
        <v>85</v>
      </c>
      <c r="P1596" s="1931">
        <f>SUM(P1597:P1609)</f>
        <v>4740017441</v>
      </c>
      <c r="Q1596" s="1932">
        <v>15</v>
      </c>
      <c r="R1596" s="1955">
        <f>SUM(R1597:R1609)</f>
        <v>643716254</v>
      </c>
      <c r="S1596" s="1957"/>
      <c r="T1596" s="1957"/>
      <c r="U1596" s="1957"/>
      <c r="V1596" s="1957"/>
      <c r="W1596" s="1957"/>
      <c r="X1596" s="1957"/>
      <c r="Y1596" s="1932">
        <f t="shared" ref="Y1596:Z1609" si="448">Q1596</f>
        <v>15</v>
      </c>
      <c r="Z1596" s="1933">
        <f t="shared" si="448"/>
        <v>643716254</v>
      </c>
      <c r="AA1596" s="1956">
        <f>M1596+Q1596</f>
        <v>185</v>
      </c>
      <c r="AB1596" s="1933">
        <f t="shared" ref="AB1596:AB1609" si="449">N1596+Z1596</f>
        <v>6920964785</v>
      </c>
      <c r="AC1596" s="1929">
        <f>AA1596/K1596*100</f>
        <v>34.25925925925926</v>
      </c>
      <c r="AD1596" s="1934">
        <f t="shared" ref="AD1596:AD1609" si="450">AB1596/L1596*100</f>
        <v>21.726190174978182</v>
      </c>
      <c r="AE1596" s="1957"/>
    </row>
    <row r="1597" spans="1:31" s="656" customFormat="1" ht="24.75" customHeight="1">
      <c r="A1597" s="497"/>
      <c r="B1597" s="383"/>
      <c r="C1597" s="1935">
        <v>4</v>
      </c>
      <c r="D1597" s="1236" t="s">
        <v>107</v>
      </c>
      <c r="E1597" s="1236" t="s">
        <v>66</v>
      </c>
      <c r="F1597" s="1236" t="s">
        <v>65</v>
      </c>
      <c r="G1597" s="1236" t="s">
        <v>161</v>
      </c>
      <c r="H1597" s="383"/>
      <c r="I1597" s="1936" t="s">
        <v>1421</v>
      </c>
      <c r="J1597" s="1958" t="s">
        <v>2536</v>
      </c>
      <c r="K1597" s="1937">
        <v>13</v>
      </c>
      <c r="L1597" s="1947">
        <v>340000000</v>
      </c>
      <c r="M1597" s="1939">
        <v>2</v>
      </c>
      <c r="N1597" s="1940">
        <v>31590000</v>
      </c>
      <c r="O1597" s="1938">
        <v>2</v>
      </c>
      <c r="P1597" s="1941">
        <v>36500000</v>
      </c>
      <c r="Q1597" s="1959"/>
      <c r="R1597" s="64"/>
      <c r="S1597" s="1945">
        <f>Q1597/O1597*100</f>
        <v>0</v>
      </c>
      <c r="T1597" s="64"/>
      <c r="U1597" s="64"/>
      <c r="V1597" s="64"/>
      <c r="W1597" s="64"/>
      <c r="X1597" s="64"/>
      <c r="Y1597" s="1959">
        <f t="shared" si="448"/>
        <v>0</v>
      </c>
      <c r="Z1597" s="1942">
        <f t="shared" si="448"/>
        <v>0</v>
      </c>
      <c r="AA1597" s="1939">
        <f>M1597+Q1597</f>
        <v>2</v>
      </c>
      <c r="AB1597" s="1944">
        <f t="shared" si="449"/>
        <v>31590000</v>
      </c>
      <c r="AC1597" s="1945">
        <f t="shared" ref="AC1597:AC1609" si="451">AA1597/K1597*100</f>
        <v>15.384615384615385</v>
      </c>
      <c r="AD1597" s="1946">
        <f t="shared" si="450"/>
        <v>9.2911764705882351</v>
      </c>
      <c r="AE1597" s="64" t="s">
        <v>2513</v>
      </c>
    </row>
    <row r="1598" spans="1:31" s="63" customFormat="1" ht="17.25" customHeight="1">
      <c r="A1598" s="497"/>
      <c r="B1598" s="383"/>
      <c r="C1598" s="1935">
        <v>4</v>
      </c>
      <c r="D1598" s="1236" t="s">
        <v>107</v>
      </c>
      <c r="E1598" s="1236" t="s">
        <v>66</v>
      </c>
      <c r="F1598" s="1236" t="s">
        <v>65</v>
      </c>
      <c r="G1598" s="1236" t="s">
        <v>197</v>
      </c>
      <c r="H1598" s="383"/>
      <c r="I1598" s="233" t="s">
        <v>2537</v>
      </c>
      <c r="J1598" s="741" t="s">
        <v>2538</v>
      </c>
      <c r="K1598" s="1938">
        <v>400</v>
      </c>
      <c r="L1598" s="1947">
        <v>3690000000</v>
      </c>
      <c r="M1598" s="1939"/>
      <c r="N1598" s="1940"/>
      <c r="O1598" s="1938">
        <v>100</v>
      </c>
      <c r="P1598" s="1941">
        <v>839659000</v>
      </c>
      <c r="Q1598" s="1939">
        <v>25</v>
      </c>
      <c r="R1598" s="1940">
        <v>131402540</v>
      </c>
      <c r="S1598" s="1945">
        <f>Q1598/O1598*100</f>
        <v>25</v>
      </c>
      <c r="T1598" s="64"/>
      <c r="U1598" s="64"/>
      <c r="V1598" s="64"/>
      <c r="W1598" s="64"/>
      <c r="X1598" s="64"/>
      <c r="Y1598" s="1939">
        <f t="shared" si="448"/>
        <v>25</v>
      </c>
      <c r="Z1598" s="1942">
        <f t="shared" si="448"/>
        <v>131402540</v>
      </c>
      <c r="AA1598" s="1939">
        <f t="shared" ref="AA1598:AA1609" si="452">M1598+Q1598</f>
        <v>25</v>
      </c>
      <c r="AB1598" s="1944">
        <f t="shared" si="449"/>
        <v>131402540</v>
      </c>
      <c r="AC1598" s="1945">
        <f t="shared" si="451"/>
        <v>6.25</v>
      </c>
      <c r="AD1598" s="1946">
        <f>AB1598/L1598*100</f>
        <v>3.5610444444444447</v>
      </c>
      <c r="AE1598" s="64" t="s">
        <v>2513</v>
      </c>
    </row>
    <row r="1599" spans="1:31" s="656" customFormat="1" ht="27" customHeight="1">
      <c r="A1599" s="497"/>
      <c r="B1599" s="383"/>
      <c r="C1599" s="1935">
        <v>4</v>
      </c>
      <c r="D1599" s="1236" t="s">
        <v>107</v>
      </c>
      <c r="E1599" s="1236" t="s">
        <v>66</v>
      </c>
      <c r="F1599" s="1236" t="s">
        <v>65</v>
      </c>
      <c r="G1599" s="1236" t="s">
        <v>93</v>
      </c>
      <c r="H1599" s="383"/>
      <c r="I1599" s="1936" t="s">
        <v>2539</v>
      </c>
      <c r="J1599" s="1958" t="s">
        <v>2540</v>
      </c>
      <c r="K1599" s="1938">
        <v>600</v>
      </c>
      <c r="L1599" s="1947">
        <v>492500000</v>
      </c>
      <c r="M1599" s="1943">
        <v>200</v>
      </c>
      <c r="N1599" s="1940">
        <f>58543000+60118000</f>
        <v>118661000</v>
      </c>
      <c r="O1599" s="1938">
        <v>100</v>
      </c>
      <c r="P1599" s="1941">
        <v>65000000</v>
      </c>
      <c r="Q1599" s="1959"/>
      <c r="R1599" s="1940">
        <v>0</v>
      </c>
      <c r="S1599" s="1945">
        <f>Q1599/O1599*100</f>
        <v>0</v>
      </c>
      <c r="T1599" s="64"/>
      <c r="U1599" s="64"/>
      <c r="V1599" s="64"/>
      <c r="W1599" s="64"/>
      <c r="X1599" s="64"/>
      <c r="Y1599" s="1959">
        <f t="shared" si="448"/>
        <v>0</v>
      </c>
      <c r="Z1599" s="1942">
        <f t="shared" si="448"/>
        <v>0</v>
      </c>
      <c r="AA1599" s="1939">
        <f t="shared" si="452"/>
        <v>200</v>
      </c>
      <c r="AB1599" s="1944">
        <f t="shared" si="449"/>
        <v>118661000</v>
      </c>
      <c r="AC1599" s="1945">
        <f t="shared" si="451"/>
        <v>33.333333333333329</v>
      </c>
      <c r="AD1599" s="1946">
        <f t="shared" si="450"/>
        <v>24.093604060913705</v>
      </c>
      <c r="AE1599" s="64" t="s">
        <v>2513</v>
      </c>
    </row>
    <row r="1600" spans="1:31" s="63" customFormat="1" ht="17.25" customHeight="1">
      <c r="A1600" s="497"/>
      <c r="B1600" s="383"/>
      <c r="C1600" s="1935">
        <v>4</v>
      </c>
      <c r="D1600" s="1236" t="s">
        <v>107</v>
      </c>
      <c r="E1600" s="1236" t="s">
        <v>66</v>
      </c>
      <c r="F1600" s="1236" t="s">
        <v>65</v>
      </c>
      <c r="G1600" s="1236" t="s">
        <v>201</v>
      </c>
      <c r="H1600" s="383"/>
      <c r="I1600" s="1936" t="s">
        <v>454</v>
      </c>
      <c r="J1600" s="1958" t="s">
        <v>1454</v>
      </c>
      <c r="K1600" s="1938">
        <v>600</v>
      </c>
      <c r="L1600" s="1947">
        <v>3400000000</v>
      </c>
      <c r="M1600" s="1939">
        <v>200</v>
      </c>
      <c r="N1600" s="1940">
        <f>595832100+493469000</f>
        <v>1089301100</v>
      </c>
      <c r="O1600" s="1938">
        <v>100</v>
      </c>
      <c r="P1600" s="1941">
        <v>297386421</v>
      </c>
      <c r="Q1600" s="1939">
        <v>8</v>
      </c>
      <c r="R1600" s="1940">
        <v>17765000</v>
      </c>
      <c r="S1600" s="1945">
        <f t="shared" ref="S1600:S1609" si="453">Q1600/O1600*100</f>
        <v>8</v>
      </c>
      <c r="T1600" s="64"/>
      <c r="U1600" s="64"/>
      <c r="V1600" s="64"/>
      <c r="W1600" s="64"/>
      <c r="X1600" s="64"/>
      <c r="Y1600" s="1939">
        <f t="shared" si="448"/>
        <v>8</v>
      </c>
      <c r="Z1600" s="1942">
        <f t="shared" si="448"/>
        <v>17765000</v>
      </c>
      <c r="AA1600" s="1939">
        <f t="shared" si="452"/>
        <v>208</v>
      </c>
      <c r="AB1600" s="1944">
        <f t="shared" si="449"/>
        <v>1107066100</v>
      </c>
      <c r="AC1600" s="1945">
        <f>AA1600/K1600*100</f>
        <v>34.666666666666671</v>
      </c>
      <c r="AD1600" s="1946">
        <f t="shared" si="450"/>
        <v>32.560767647058825</v>
      </c>
      <c r="AE1600" s="64" t="s">
        <v>2513</v>
      </c>
    </row>
    <row r="1601" spans="1:31" s="656" customFormat="1" ht="24.75" customHeight="1">
      <c r="A1601" s="497"/>
      <c r="B1601" s="383"/>
      <c r="C1601" s="1935">
        <v>4</v>
      </c>
      <c r="D1601" s="1236" t="s">
        <v>107</v>
      </c>
      <c r="E1601" s="1236" t="s">
        <v>66</v>
      </c>
      <c r="F1601" s="1236" t="s">
        <v>65</v>
      </c>
      <c r="G1601" s="1236" t="s">
        <v>202</v>
      </c>
      <c r="H1601" s="383"/>
      <c r="I1601" s="1936" t="s">
        <v>2541</v>
      </c>
      <c r="J1601" s="1958" t="s">
        <v>2542</v>
      </c>
      <c r="K1601" s="1938">
        <v>600</v>
      </c>
      <c r="L1601" s="1947">
        <v>1156000000</v>
      </c>
      <c r="M1601" s="1939">
        <v>200</v>
      </c>
      <c r="N1601" s="1940">
        <f>138650000+250050000</f>
        <v>388700000</v>
      </c>
      <c r="O1601" s="1938">
        <v>100</v>
      </c>
      <c r="P1601" s="1941">
        <v>140000000</v>
      </c>
      <c r="Q1601" s="1939">
        <v>10</v>
      </c>
      <c r="R1601" s="1940">
        <v>700000</v>
      </c>
      <c r="S1601" s="1945">
        <f t="shared" si="453"/>
        <v>10</v>
      </c>
      <c r="T1601" s="64"/>
      <c r="U1601" s="64"/>
      <c r="V1601" s="64"/>
      <c r="W1601" s="64"/>
      <c r="X1601" s="64"/>
      <c r="Y1601" s="1939">
        <f t="shared" si="448"/>
        <v>10</v>
      </c>
      <c r="Z1601" s="1942">
        <f t="shared" si="448"/>
        <v>700000</v>
      </c>
      <c r="AA1601" s="1939">
        <f t="shared" si="452"/>
        <v>210</v>
      </c>
      <c r="AB1601" s="1944">
        <f t="shared" si="449"/>
        <v>389400000</v>
      </c>
      <c r="AC1601" s="1945">
        <f t="shared" si="451"/>
        <v>35</v>
      </c>
      <c r="AD1601" s="1946">
        <f t="shared" si="450"/>
        <v>33.685121107266433</v>
      </c>
      <c r="AE1601" s="64" t="s">
        <v>2513</v>
      </c>
    </row>
    <row r="1602" spans="1:31" s="63" customFormat="1" ht="17.25" customHeight="1">
      <c r="A1602" s="497"/>
      <c r="B1602" s="383"/>
      <c r="C1602" s="1935">
        <v>4</v>
      </c>
      <c r="D1602" s="1236" t="s">
        <v>107</v>
      </c>
      <c r="E1602" s="1236" t="s">
        <v>66</v>
      </c>
      <c r="F1602" s="1236" t="s">
        <v>65</v>
      </c>
      <c r="G1602" s="1236" t="s">
        <v>167</v>
      </c>
      <c r="H1602" s="383"/>
      <c r="I1602" s="1936" t="s">
        <v>2543</v>
      </c>
      <c r="J1602" s="1958" t="s">
        <v>2544</v>
      </c>
      <c r="K1602" s="1949">
        <v>400</v>
      </c>
      <c r="L1602" s="1947">
        <v>1290000000</v>
      </c>
      <c r="M1602" s="1939"/>
      <c r="N1602" s="1940">
        <v>216867245</v>
      </c>
      <c r="O1602" s="1960">
        <v>100</v>
      </c>
      <c r="P1602" s="1941">
        <v>207600000</v>
      </c>
      <c r="Q1602" s="1939">
        <v>10</v>
      </c>
      <c r="R1602" s="1940">
        <v>8587600</v>
      </c>
      <c r="S1602" s="1945">
        <f t="shared" si="453"/>
        <v>10</v>
      </c>
      <c r="T1602" s="64"/>
      <c r="U1602" s="64"/>
      <c r="V1602" s="64"/>
      <c r="W1602" s="64"/>
      <c r="X1602" s="64"/>
      <c r="Y1602" s="1939">
        <f t="shared" si="448"/>
        <v>10</v>
      </c>
      <c r="Z1602" s="1942">
        <f t="shared" si="448"/>
        <v>8587600</v>
      </c>
      <c r="AA1602" s="1939">
        <f t="shared" si="452"/>
        <v>10</v>
      </c>
      <c r="AB1602" s="1944">
        <f t="shared" si="449"/>
        <v>225454845</v>
      </c>
      <c r="AC1602" s="1945">
        <f t="shared" si="451"/>
        <v>2.5</v>
      </c>
      <c r="AD1602" s="1946">
        <f>AB1602/L1602*100</f>
        <v>17.477119767441859</v>
      </c>
      <c r="AE1602" s="64" t="s">
        <v>2513</v>
      </c>
    </row>
    <row r="1603" spans="1:31" s="656" customFormat="1" ht="29.25" customHeight="1">
      <c r="A1603" s="497"/>
      <c r="B1603" s="383"/>
      <c r="C1603" s="1935">
        <v>4</v>
      </c>
      <c r="D1603" s="1236" t="s">
        <v>107</v>
      </c>
      <c r="E1603" s="1236" t="s">
        <v>66</v>
      </c>
      <c r="F1603" s="1236" t="s">
        <v>65</v>
      </c>
      <c r="G1603" s="1236" t="s">
        <v>376</v>
      </c>
      <c r="H1603" s="383"/>
      <c r="I1603" s="741" t="s">
        <v>2545</v>
      </c>
      <c r="J1603" s="741" t="s">
        <v>2546</v>
      </c>
      <c r="K1603" s="1949">
        <v>400</v>
      </c>
      <c r="L1603" s="1947">
        <v>3350000000</v>
      </c>
      <c r="M1603" s="1939"/>
      <c r="N1603" s="1940"/>
      <c r="O1603" s="1960">
        <v>100</v>
      </c>
      <c r="P1603" s="1941">
        <v>661300000</v>
      </c>
      <c r="Q1603" s="1939">
        <v>10</v>
      </c>
      <c r="R1603" s="1940">
        <v>10141000</v>
      </c>
      <c r="S1603" s="1945">
        <f t="shared" si="453"/>
        <v>10</v>
      </c>
      <c r="T1603" s="64"/>
      <c r="U1603" s="64"/>
      <c r="V1603" s="64"/>
      <c r="W1603" s="64"/>
      <c r="X1603" s="64"/>
      <c r="Y1603" s="1939">
        <f t="shared" si="448"/>
        <v>10</v>
      </c>
      <c r="Z1603" s="1942">
        <f t="shared" si="448"/>
        <v>10141000</v>
      </c>
      <c r="AA1603" s="1939">
        <f t="shared" si="452"/>
        <v>10</v>
      </c>
      <c r="AB1603" s="1944">
        <f t="shared" si="449"/>
        <v>10141000</v>
      </c>
      <c r="AC1603" s="1945">
        <f t="shared" si="451"/>
        <v>2.5</v>
      </c>
      <c r="AD1603" s="1946">
        <f>AB1603/L1603*100</f>
        <v>0.30271641791044773</v>
      </c>
      <c r="AE1603" s="64" t="s">
        <v>2513</v>
      </c>
    </row>
    <row r="1604" spans="1:31" s="63" customFormat="1" ht="17.25" customHeight="1">
      <c r="A1604" s="497"/>
      <c r="B1604" s="383"/>
      <c r="C1604" s="1935">
        <v>4</v>
      </c>
      <c r="D1604" s="1236" t="s">
        <v>107</v>
      </c>
      <c r="E1604" s="1236" t="s">
        <v>66</v>
      </c>
      <c r="F1604" s="1236" t="s">
        <v>65</v>
      </c>
      <c r="G1604" s="1236" t="s">
        <v>67</v>
      </c>
      <c r="H1604" s="383"/>
      <c r="I1604" s="1936" t="s">
        <v>1711</v>
      </c>
      <c r="J1604" s="1958" t="s">
        <v>2547</v>
      </c>
      <c r="K1604" s="1938">
        <v>600</v>
      </c>
      <c r="L1604" s="1947">
        <v>3592000000</v>
      </c>
      <c r="M1604" s="1939">
        <v>200</v>
      </c>
      <c r="N1604" s="1940">
        <f>627689500+324034000</f>
        <v>951723500</v>
      </c>
      <c r="O1604" s="1938">
        <v>100</v>
      </c>
      <c r="P1604" s="1941">
        <v>413519840</v>
      </c>
      <c r="Q1604" s="1939">
        <v>35</v>
      </c>
      <c r="R1604" s="1940">
        <v>102812500</v>
      </c>
      <c r="S1604" s="1945">
        <f t="shared" si="453"/>
        <v>35</v>
      </c>
      <c r="T1604" s="64"/>
      <c r="U1604" s="64"/>
      <c r="V1604" s="64"/>
      <c r="W1604" s="64"/>
      <c r="X1604" s="64"/>
      <c r="Y1604" s="1939">
        <f t="shared" si="448"/>
        <v>35</v>
      </c>
      <c r="Z1604" s="1942">
        <f t="shared" si="448"/>
        <v>102812500</v>
      </c>
      <c r="AA1604" s="1939">
        <f t="shared" si="452"/>
        <v>235</v>
      </c>
      <c r="AB1604" s="1944">
        <f t="shared" si="449"/>
        <v>1054536000</v>
      </c>
      <c r="AC1604" s="1945">
        <f t="shared" si="451"/>
        <v>39.166666666666664</v>
      </c>
      <c r="AD1604" s="1946">
        <f t="shared" si="450"/>
        <v>29.357906458797327</v>
      </c>
      <c r="AE1604" s="64" t="s">
        <v>2513</v>
      </c>
    </row>
    <row r="1605" spans="1:31" s="656" customFormat="1" ht="28.5" customHeight="1">
      <c r="A1605" s="497"/>
      <c r="B1605" s="383"/>
      <c r="C1605" s="1935">
        <v>4</v>
      </c>
      <c r="D1605" s="1236" t="s">
        <v>107</v>
      </c>
      <c r="E1605" s="1236" t="s">
        <v>66</v>
      </c>
      <c r="F1605" s="1236" t="s">
        <v>65</v>
      </c>
      <c r="G1605" s="1236" t="s">
        <v>163</v>
      </c>
      <c r="H1605" s="383"/>
      <c r="I1605" s="1936" t="s">
        <v>2548</v>
      </c>
      <c r="J1605" s="1958" t="s">
        <v>1458</v>
      </c>
      <c r="K1605" s="1938">
        <v>600</v>
      </c>
      <c r="L1605" s="1947">
        <v>5323000000</v>
      </c>
      <c r="M1605" s="1939">
        <v>200</v>
      </c>
      <c r="N1605" s="1940">
        <f>752801185+980667793</f>
        <v>1733468978</v>
      </c>
      <c r="O1605" s="1938">
        <v>100</v>
      </c>
      <c r="P1605" s="1941">
        <v>559873170</v>
      </c>
      <c r="Q1605" s="1939">
        <v>10</v>
      </c>
      <c r="R1605" s="1940">
        <v>12620000</v>
      </c>
      <c r="S1605" s="1945">
        <f t="shared" si="453"/>
        <v>10</v>
      </c>
      <c r="T1605" s="64"/>
      <c r="U1605" s="64"/>
      <c r="V1605" s="64"/>
      <c r="W1605" s="64"/>
      <c r="X1605" s="64"/>
      <c r="Y1605" s="1939">
        <f t="shared" si="448"/>
        <v>10</v>
      </c>
      <c r="Z1605" s="1942">
        <f t="shared" si="448"/>
        <v>12620000</v>
      </c>
      <c r="AA1605" s="1939">
        <f t="shared" si="452"/>
        <v>210</v>
      </c>
      <c r="AB1605" s="1944">
        <f t="shared" si="449"/>
        <v>1746088978</v>
      </c>
      <c r="AC1605" s="1945">
        <f t="shared" si="451"/>
        <v>35</v>
      </c>
      <c r="AD1605" s="1946">
        <f t="shared" si="450"/>
        <v>32.802723614503101</v>
      </c>
      <c r="AE1605" s="64" t="s">
        <v>2513</v>
      </c>
    </row>
    <row r="1606" spans="1:31" s="63" customFormat="1" ht="17.25" customHeight="1">
      <c r="A1606" s="497"/>
      <c r="B1606" s="383"/>
      <c r="C1606" s="1935">
        <v>4</v>
      </c>
      <c r="D1606" s="1236" t="s">
        <v>107</v>
      </c>
      <c r="E1606" s="1236" t="s">
        <v>66</v>
      </c>
      <c r="F1606" s="1236" t="s">
        <v>65</v>
      </c>
      <c r="G1606" s="1236" t="s">
        <v>360</v>
      </c>
      <c r="H1606" s="383"/>
      <c r="I1606" s="741" t="s">
        <v>2549</v>
      </c>
      <c r="J1606" s="741" t="s">
        <v>2550</v>
      </c>
      <c r="K1606" s="1938">
        <f>4*12</f>
        <v>48</v>
      </c>
      <c r="L1606" s="1947">
        <v>2600000000</v>
      </c>
      <c r="M1606" s="1939"/>
      <c r="N1606" s="1940"/>
      <c r="O1606" s="1938">
        <v>12</v>
      </c>
      <c r="P1606" s="1941">
        <v>501510000</v>
      </c>
      <c r="Q1606" s="1939">
        <v>3</v>
      </c>
      <c r="R1606" s="1940">
        <v>107317620</v>
      </c>
      <c r="S1606" s="1945">
        <f t="shared" si="453"/>
        <v>25</v>
      </c>
      <c r="T1606" s="64"/>
      <c r="U1606" s="64"/>
      <c r="V1606" s="64"/>
      <c r="W1606" s="64"/>
      <c r="X1606" s="64"/>
      <c r="Y1606" s="1939">
        <f t="shared" si="448"/>
        <v>3</v>
      </c>
      <c r="Z1606" s="1942">
        <f t="shared" si="448"/>
        <v>107317620</v>
      </c>
      <c r="AA1606" s="1939">
        <f t="shared" si="452"/>
        <v>3</v>
      </c>
      <c r="AB1606" s="1944">
        <f t="shared" si="449"/>
        <v>107317620</v>
      </c>
      <c r="AC1606" s="1945">
        <f t="shared" si="451"/>
        <v>6.25</v>
      </c>
      <c r="AD1606" s="1946">
        <f t="shared" si="450"/>
        <v>4.127600769230769</v>
      </c>
      <c r="AE1606" s="64" t="s">
        <v>2513</v>
      </c>
    </row>
    <row r="1607" spans="1:31" s="656" customFormat="1" ht="28.5" customHeight="1">
      <c r="A1607" s="497"/>
      <c r="B1607" s="383"/>
      <c r="C1607" s="1935">
        <v>4</v>
      </c>
      <c r="D1607" s="1236" t="s">
        <v>107</v>
      </c>
      <c r="E1607" s="1236" t="s">
        <v>66</v>
      </c>
      <c r="F1607" s="1236" t="s">
        <v>65</v>
      </c>
      <c r="G1607" s="1236" t="s">
        <v>165</v>
      </c>
      <c r="H1607" s="383"/>
      <c r="I1607" s="741" t="s">
        <v>2551</v>
      </c>
      <c r="J1607" s="741" t="s">
        <v>2552</v>
      </c>
      <c r="K1607" s="1960">
        <v>72</v>
      </c>
      <c r="L1607" s="1947">
        <v>5479900000</v>
      </c>
      <c r="M1607" s="1939">
        <v>24</v>
      </c>
      <c r="N1607" s="1940">
        <f>808732934+721416274</f>
        <v>1530149208</v>
      </c>
      <c r="O1607" s="1960">
        <v>12</v>
      </c>
      <c r="P1607" s="1941">
        <v>840303760</v>
      </c>
      <c r="Q1607" s="1939">
        <v>3</v>
      </c>
      <c r="R1607" s="1940">
        <v>235395744</v>
      </c>
      <c r="S1607" s="1945">
        <f t="shared" si="453"/>
        <v>25</v>
      </c>
      <c r="T1607" s="64"/>
      <c r="U1607" s="64"/>
      <c r="V1607" s="64"/>
      <c r="W1607" s="64"/>
      <c r="X1607" s="64"/>
      <c r="Y1607" s="1939">
        <f t="shared" si="448"/>
        <v>3</v>
      </c>
      <c r="Z1607" s="1942">
        <f t="shared" si="448"/>
        <v>235395744</v>
      </c>
      <c r="AA1607" s="1939">
        <f>M1607+Q1607</f>
        <v>27</v>
      </c>
      <c r="AB1607" s="1944">
        <f t="shared" si="449"/>
        <v>1765544952</v>
      </c>
      <c r="AC1607" s="1945">
        <f t="shared" si="451"/>
        <v>37.5</v>
      </c>
      <c r="AD1607" s="1946">
        <f t="shared" si="450"/>
        <v>32.218561506596835</v>
      </c>
      <c r="AE1607" s="64" t="s">
        <v>2513</v>
      </c>
    </row>
    <row r="1608" spans="1:31" s="63" customFormat="1" ht="17.25" customHeight="1">
      <c r="A1608" s="497"/>
      <c r="B1608" s="383"/>
      <c r="C1608" s="1935">
        <v>4</v>
      </c>
      <c r="D1608" s="1236" t="s">
        <v>107</v>
      </c>
      <c r="E1608" s="1236" t="s">
        <v>66</v>
      </c>
      <c r="F1608" s="1236" t="s">
        <v>65</v>
      </c>
      <c r="G1608" s="1236" t="s">
        <v>515</v>
      </c>
      <c r="H1608" s="383"/>
      <c r="I1608" s="741" t="s">
        <v>2553</v>
      </c>
      <c r="J1608" s="741" t="s">
        <v>2554</v>
      </c>
      <c r="K1608" s="1949">
        <f>4*12</f>
        <v>48</v>
      </c>
      <c r="L1608" s="1947">
        <v>880000000</v>
      </c>
      <c r="M1608" s="1939"/>
      <c r="N1608" s="1940">
        <f>199031500</f>
        <v>199031500</v>
      </c>
      <c r="O1608" s="1961">
        <v>12</v>
      </c>
      <c r="P1608" s="1941">
        <v>165365250</v>
      </c>
      <c r="Q1608" s="1939">
        <v>3</v>
      </c>
      <c r="R1608" s="1940">
        <v>16274250</v>
      </c>
      <c r="S1608" s="1945">
        <f t="shared" si="453"/>
        <v>25</v>
      </c>
      <c r="T1608" s="64"/>
      <c r="U1608" s="64"/>
      <c r="V1608" s="64"/>
      <c r="W1608" s="64"/>
      <c r="X1608" s="64"/>
      <c r="Y1608" s="1939">
        <f t="shared" si="448"/>
        <v>3</v>
      </c>
      <c r="Z1608" s="1942">
        <f t="shared" si="448"/>
        <v>16274250</v>
      </c>
      <c r="AA1608" s="1939">
        <f t="shared" si="452"/>
        <v>3</v>
      </c>
      <c r="AB1608" s="1944">
        <f t="shared" si="449"/>
        <v>215305750</v>
      </c>
      <c r="AC1608" s="1945">
        <f t="shared" si="451"/>
        <v>6.25</v>
      </c>
      <c r="AD1608" s="1946">
        <f t="shared" si="450"/>
        <v>24.466562499999998</v>
      </c>
      <c r="AE1608" s="64" t="s">
        <v>2513</v>
      </c>
    </row>
    <row r="1609" spans="1:31" s="656" customFormat="1" ht="29.25" customHeight="1">
      <c r="A1609" s="497"/>
      <c r="B1609" s="383"/>
      <c r="C1609" s="1935">
        <v>4</v>
      </c>
      <c r="D1609" s="1236" t="s">
        <v>107</v>
      </c>
      <c r="E1609" s="1236" t="s">
        <v>66</v>
      </c>
      <c r="F1609" s="1236" t="s">
        <v>65</v>
      </c>
      <c r="G1609" s="1236" t="s">
        <v>368</v>
      </c>
      <c r="H1609" s="383"/>
      <c r="I1609" s="741" t="s">
        <v>2555</v>
      </c>
      <c r="J1609" s="741" t="s">
        <v>2556</v>
      </c>
      <c r="K1609" s="1949">
        <v>600</v>
      </c>
      <c r="L1609" s="1947">
        <v>262000000</v>
      </c>
      <c r="M1609" s="1939">
        <v>200</v>
      </c>
      <c r="N1609" s="1940">
        <f>15956000+1800000</f>
        <v>17756000</v>
      </c>
      <c r="O1609" s="1949">
        <v>100</v>
      </c>
      <c r="P1609" s="1941">
        <v>12000000</v>
      </c>
      <c r="Q1609" s="1939">
        <v>6</v>
      </c>
      <c r="R1609" s="1940">
        <v>700000</v>
      </c>
      <c r="S1609" s="1945">
        <f t="shared" si="453"/>
        <v>6</v>
      </c>
      <c r="T1609" s="64"/>
      <c r="U1609" s="64"/>
      <c r="V1609" s="64"/>
      <c r="W1609" s="64"/>
      <c r="X1609" s="64"/>
      <c r="Y1609" s="1939">
        <f t="shared" si="448"/>
        <v>6</v>
      </c>
      <c r="Z1609" s="1942">
        <f t="shared" si="448"/>
        <v>700000</v>
      </c>
      <c r="AA1609" s="1939">
        <f t="shared" si="452"/>
        <v>206</v>
      </c>
      <c r="AB1609" s="1944">
        <f t="shared" si="449"/>
        <v>18456000</v>
      </c>
      <c r="AC1609" s="1945">
        <f t="shared" si="451"/>
        <v>34.333333333333336</v>
      </c>
      <c r="AD1609" s="1962">
        <f t="shared" si="450"/>
        <v>7.0442748091603056</v>
      </c>
      <c r="AE1609" s="64" t="s">
        <v>2513</v>
      </c>
    </row>
    <row r="1610" spans="1:31" s="63" customFormat="1" ht="17.25" customHeight="1">
      <c r="A1610" s="2601" t="s">
        <v>2532</v>
      </c>
      <c r="B1610" s="2602"/>
      <c r="C1610" s="2602"/>
      <c r="D1610" s="2602"/>
      <c r="E1610" s="2602"/>
      <c r="F1610" s="2602"/>
      <c r="G1610" s="2602"/>
      <c r="H1610" s="2602"/>
      <c r="I1610" s="2602"/>
      <c r="J1610" s="2602"/>
      <c r="K1610" s="2602"/>
      <c r="L1610" s="2602"/>
      <c r="M1610" s="2602"/>
      <c r="N1610" s="2602"/>
      <c r="O1610" s="2602"/>
      <c r="P1610" s="2602"/>
      <c r="Q1610" s="2602"/>
      <c r="R1610" s="2602"/>
      <c r="S1610" s="2602"/>
      <c r="T1610" s="2602"/>
      <c r="U1610" s="2602"/>
      <c r="V1610" s="2602"/>
      <c r="W1610" s="2602"/>
      <c r="X1610" s="2602"/>
      <c r="Y1610" s="2602"/>
      <c r="Z1610" s="2602"/>
      <c r="AA1610" s="2602"/>
      <c r="AB1610" s="2603"/>
      <c r="AC1610" s="1963">
        <f>SUM(AC1597:AC1609)/13</f>
        <v>22.164201183431949</v>
      </c>
      <c r="AD1610" s="1963">
        <f>SUM(AD1597:AD1609)/13</f>
        <v>19.306859967224025</v>
      </c>
      <c r="AE1610" s="64"/>
    </row>
    <row r="1611" spans="1:31" s="656" customFormat="1" ht="24.75" customHeight="1">
      <c r="A1611" s="2601" t="s">
        <v>2533</v>
      </c>
      <c r="B1611" s="2602"/>
      <c r="C1611" s="2602"/>
      <c r="D1611" s="2602"/>
      <c r="E1611" s="2602"/>
      <c r="F1611" s="2602"/>
      <c r="G1611" s="2602"/>
      <c r="H1611" s="2602"/>
      <c r="I1611" s="2602"/>
      <c r="J1611" s="2602"/>
      <c r="K1611" s="2602"/>
      <c r="L1611" s="2602"/>
      <c r="M1611" s="2602"/>
      <c r="N1611" s="2602"/>
      <c r="O1611" s="2602"/>
      <c r="P1611" s="2602"/>
      <c r="Q1611" s="2602"/>
      <c r="R1611" s="2602"/>
      <c r="S1611" s="2602"/>
      <c r="T1611" s="2602"/>
      <c r="U1611" s="2602"/>
      <c r="V1611" s="2602"/>
      <c r="W1611" s="2602"/>
      <c r="X1611" s="2602"/>
      <c r="Y1611" s="2602"/>
      <c r="Z1611" s="2602"/>
      <c r="AA1611" s="2602"/>
      <c r="AB1611" s="2603"/>
      <c r="AC1611" s="1883" t="s">
        <v>2534</v>
      </c>
      <c r="AD1611" s="1883" t="s">
        <v>2534</v>
      </c>
      <c r="AE1611" s="64"/>
    </row>
    <row r="1612" spans="1:31" s="63" customFormat="1" ht="17.25" customHeight="1">
      <c r="A1612" s="1922">
        <v>3</v>
      </c>
      <c r="B1612" s="1923" t="s">
        <v>2557</v>
      </c>
      <c r="C1612" s="1925" t="s">
        <v>66</v>
      </c>
      <c r="D1612" s="1925" t="s">
        <v>2558</v>
      </c>
      <c r="E1612" s="1925" t="s">
        <v>107</v>
      </c>
      <c r="F1612" s="1925" t="s">
        <v>66</v>
      </c>
      <c r="G1612" s="1925" t="s">
        <v>376</v>
      </c>
      <c r="H1612" s="1926"/>
      <c r="I1612" s="1923" t="s">
        <v>377</v>
      </c>
      <c r="J1612" s="1964" t="s">
        <v>2559</v>
      </c>
      <c r="K1612" s="1932">
        <v>560</v>
      </c>
      <c r="L1612" s="1965">
        <f>L1613+L1614</f>
        <v>386000000</v>
      </c>
      <c r="M1612" s="1932">
        <f>90+90</f>
        <v>180</v>
      </c>
      <c r="N1612" s="1965">
        <f>N1613+N1614</f>
        <v>167100450</v>
      </c>
      <c r="O1612" s="1966">
        <v>90</v>
      </c>
      <c r="P1612" s="1965">
        <f>P1613+P1614</f>
        <v>222750947.75</v>
      </c>
      <c r="Q1612" s="1932">
        <v>20</v>
      </c>
      <c r="R1612" s="1933">
        <f>R1613+R1614</f>
        <v>35718000</v>
      </c>
      <c r="S1612" s="2025"/>
      <c r="T1612" s="2025"/>
      <c r="U1612" s="2025"/>
      <c r="V1612" s="2025"/>
      <c r="W1612" s="2025"/>
      <c r="X1612" s="2025"/>
      <c r="Y1612" s="1932">
        <f t="shared" ref="Y1612:Z1614" si="454">Q1612</f>
        <v>20</v>
      </c>
      <c r="Z1612" s="1933">
        <f t="shared" si="454"/>
        <v>35718000</v>
      </c>
      <c r="AA1612" s="1932">
        <f>M1612+Q1612</f>
        <v>200</v>
      </c>
      <c r="AB1612" s="1933">
        <f>N1612+Z1612</f>
        <v>202818450</v>
      </c>
      <c r="AC1612" s="1967">
        <f t="shared" ref="AC1612:AC1614" si="455">AA1612/K1612*100</f>
        <v>35.714285714285715</v>
      </c>
      <c r="AD1612" s="1968">
        <f>AB1612/L1612*100</f>
        <v>52.543639896373065</v>
      </c>
      <c r="AE1612" s="2025"/>
    </row>
    <row r="1613" spans="1:31" ht="25.5">
      <c r="A1613" s="497"/>
      <c r="B1613" s="383"/>
      <c r="C1613" s="1236" t="s">
        <v>66</v>
      </c>
      <c r="D1613" s="1236" t="s">
        <v>2558</v>
      </c>
      <c r="E1613" s="1236" t="s">
        <v>107</v>
      </c>
      <c r="F1613" s="1236" t="s">
        <v>66</v>
      </c>
      <c r="G1613" s="1236" t="s">
        <v>376</v>
      </c>
      <c r="H1613" s="1236" t="s">
        <v>368</v>
      </c>
      <c r="I1613" s="741" t="s">
        <v>2560</v>
      </c>
      <c r="J1613" s="1485" t="s">
        <v>2561</v>
      </c>
      <c r="K1613" s="1952">
        <v>8</v>
      </c>
      <c r="L1613" s="1947">
        <v>191000000</v>
      </c>
      <c r="M1613" s="1939">
        <v>4</v>
      </c>
      <c r="N1613" s="1969">
        <f>89386100</f>
        <v>89386100</v>
      </c>
      <c r="O1613" s="1970">
        <v>4</v>
      </c>
      <c r="P1613" s="1971">
        <v>85080735.5</v>
      </c>
      <c r="Q1613" s="1939">
        <v>2</v>
      </c>
      <c r="R1613" s="1940">
        <v>20963000</v>
      </c>
      <c r="S1613" s="64"/>
      <c r="T1613" s="64"/>
      <c r="U1613" s="64"/>
      <c r="V1613" s="64"/>
      <c r="W1613" s="64"/>
      <c r="X1613" s="64"/>
      <c r="Y1613" s="1939">
        <f t="shared" si="454"/>
        <v>2</v>
      </c>
      <c r="Z1613" s="1942">
        <f t="shared" si="454"/>
        <v>20963000</v>
      </c>
      <c r="AA1613" s="1939">
        <f t="shared" ref="AA1613" si="456">M1613+Q1613</f>
        <v>6</v>
      </c>
      <c r="AB1613" s="1944">
        <f>N1613+Z1613</f>
        <v>110349100</v>
      </c>
      <c r="AC1613" s="1945">
        <f t="shared" si="455"/>
        <v>75</v>
      </c>
      <c r="AD1613" s="1946">
        <f>AB1613/L1613*100</f>
        <v>57.774397905759166</v>
      </c>
      <c r="AE1613" s="64" t="s">
        <v>2562</v>
      </c>
    </row>
    <row r="1614" spans="1:31" ht="51">
      <c r="A1614" s="497"/>
      <c r="B1614" s="383"/>
      <c r="C1614" s="1236" t="s">
        <v>66</v>
      </c>
      <c r="D1614" s="1236" t="s">
        <v>2558</v>
      </c>
      <c r="E1614" s="1236" t="s">
        <v>107</v>
      </c>
      <c r="F1614" s="1236" t="s">
        <v>66</v>
      </c>
      <c r="G1614" s="1236" t="s">
        <v>376</v>
      </c>
      <c r="H1614" s="1236" t="s">
        <v>373</v>
      </c>
      <c r="I1614" s="741" t="s">
        <v>2563</v>
      </c>
      <c r="J1614" s="1485" t="s">
        <v>2564</v>
      </c>
      <c r="K1614" s="1938">
        <v>6</v>
      </c>
      <c r="L1614" s="1947">
        <v>195000000</v>
      </c>
      <c r="M1614" s="1939">
        <v>3</v>
      </c>
      <c r="N1614" s="1940">
        <v>77714350</v>
      </c>
      <c r="O1614" s="1972">
        <v>3</v>
      </c>
      <c r="P1614" s="1971">
        <v>137670212.25</v>
      </c>
      <c r="Q1614" s="1939">
        <v>2</v>
      </c>
      <c r="R1614" s="1940">
        <v>14755000</v>
      </c>
      <c r="S1614" s="64"/>
      <c r="T1614" s="64"/>
      <c r="U1614" s="64"/>
      <c r="V1614" s="64"/>
      <c r="W1614" s="64"/>
      <c r="X1614" s="64"/>
      <c r="Y1614" s="1939">
        <f t="shared" si="454"/>
        <v>2</v>
      </c>
      <c r="Z1614" s="1942">
        <f t="shared" si="454"/>
        <v>14755000</v>
      </c>
      <c r="AA1614" s="1939">
        <f>M1614+Q1614</f>
        <v>5</v>
      </c>
      <c r="AB1614" s="1944">
        <f>N1614+Z1614</f>
        <v>92469350</v>
      </c>
      <c r="AC1614" s="1945">
        <f t="shared" si="455"/>
        <v>83.333333333333343</v>
      </c>
      <c r="AD1614" s="1946">
        <f>AB1614/L1614*100</f>
        <v>47.420179487179489</v>
      </c>
      <c r="AE1614" s="64" t="s">
        <v>2562</v>
      </c>
    </row>
    <row r="1615" spans="1:31">
      <c r="A1615" s="2601" t="s">
        <v>2532</v>
      </c>
      <c r="B1615" s="2602"/>
      <c r="C1615" s="2602"/>
      <c r="D1615" s="2602"/>
      <c r="E1615" s="2602"/>
      <c r="F1615" s="2602"/>
      <c r="G1615" s="2602"/>
      <c r="H1615" s="2602"/>
      <c r="I1615" s="2602"/>
      <c r="J1615" s="2602"/>
      <c r="K1615" s="2602"/>
      <c r="L1615" s="2602"/>
      <c r="M1615" s="2602"/>
      <c r="N1615" s="2602"/>
      <c r="O1615" s="2602"/>
      <c r="P1615" s="2602"/>
      <c r="Q1615" s="2602"/>
      <c r="R1615" s="2602"/>
      <c r="S1615" s="2602"/>
      <c r="T1615" s="2602"/>
      <c r="U1615" s="2602"/>
      <c r="V1615" s="2602"/>
      <c r="W1615" s="2602"/>
      <c r="X1615" s="2602"/>
      <c r="Y1615" s="2602"/>
      <c r="Z1615" s="2602"/>
      <c r="AA1615" s="2602"/>
      <c r="AB1615" s="2603"/>
      <c r="AC1615" s="2027">
        <f>SUM(AC1613:AC1614)/2</f>
        <v>79.166666666666671</v>
      </c>
      <c r="AD1615" s="2027">
        <f>SUM(AD1613:AD1614)/2</f>
        <v>52.597288696469327</v>
      </c>
      <c r="AE1615" s="64"/>
    </row>
    <row r="1616" spans="1:31">
      <c r="A1616" s="2601" t="s">
        <v>2533</v>
      </c>
      <c r="B1616" s="2602"/>
      <c r="C1616" s="2602"/>
      <c r="D1616" s="2602"/>
      <c r="E1616" s="2602"/>
      <c r="F1616" s="2602"/>
      <c r="G1616" s="2602"/>
      <c r="H1616" s="2602"/>
      <c r="I1616" s="2602"/>
      <c r="J1616" s="2602"/>
      <c r="K1616" s="2602"/>
      <c r="L1616" s="2602"/>
      <c r="M1616" s="2602"/>
      <c r="N1616" s="2602"/>
      <c r="O1616" s="2602"/>
      <c r="P1616" s="2602"/>
      <c r="Q1616" s="2602"/>
      <c r="R1616" s="2602"/>
      <c r="S1616" s="2602"/>
      <c r="T1616" s="2602"/>
      <c r="U1616" s="2602"/>
      <c r="V1616" s="2602"/>
      <c r="W1616" s="2602"/>
      <c r="X1616" s="2602"/>
      <c r="Y1616" s="2602"/>
      <c r="Z1616" s="2602"/>
      <c r="AA1616" s="2602"/>
      <c r="AB1616" s="2603"/>
      <c r="AC1616" s="2026" t="s">
        <v>2565</v>
      </c>
      <c r="AD1616" s="2028" t="s">
        <v>2566</v>
      </c>
      <c r="AE1616" s="64"/>
    </row>
    <row r="1617" spans="1:31" ht="76.5">
      <c r="A1617" s="1922">
        <v>4</v>
      </c>
      <c r="B1617" s="1923" t="s">
        <v>2567</v>
      </c>
      <c r="C1617" s="1925" t="s">
        <v>161</v>
      </c>
      <c r="D1617" s="1925" t="s">
        <v>2558</v>
      </c>
      <c r="E1617" s="1925" t="s">
        <v>107</v>
      </c>
      <c r="F1617" s="1925" t="s">
        <v>66</v>
      </c>
      <c r="G1617" s="1925" t="s">
        <v>155</v>
      </c>
      <c r="H1617" s="1926"/>
      <c r="I1617" s="1926" t="s">
        <v>2568</v>
      </c>
      <c r="J1617" s="1973" t="s">
        <v>2569</v>
      </c>
      <c r="K1617" s="1974">
        <v>22</v>
      </c>
      <c r="L1617" s="1975">
        <f>L1618+L1619</f>
        <v>1781000000</v>
      </c>
      <c r="M1617" s="1932">
        <v>6</v>
      </c>
      <c r="N1617" s="1976">
        <f>N1618+N1619</f>
        <v>168029450</v>
      </c>
      <c r="O1617" s="1977">
        <v>3</v>
      </c>
      <c r="P1617" s="1965">
        <f>P1618+P1619</f>
        <v>158206611</v>
      </c>
      <c r="Q1617" s="1932">
        <v>1</v>
      </c>
      <c r="R1617" s="1933">
        <f>R1618+R1619</f>
        <v>106638850</v>
      </c>
      <c r="S1617" s="1957"/>
      <c r="T1617" s="1957"/>
      <c r="U1617" s="1957"/>
      <c r="V1617" s="1957"/>
      <c r="W1617" s="1957"/>
      <c r="X1617" s="1957"/>
      <c r="Y1617" s="1932">
        <f t="shared" ref="Y1617:Z1619" si="457">Q1617</f>
        <v>1</v>
      </c>
      <c r="Z1617" s="1933">
        <f t="shared" si="457"/>
        <v>106638850</v>
      </c>
      <c r="AA1617" s="1932">
        <f>M1617+Q1617</f>
        <v>7</v>
      </c>
      <c r="AB1617" s="1933">
        <f>N1617+Z1617</f>
        <v>274668300</v>
      </c>
      <c r="AC1617" s="1929">
        <f t="shared" ref="AC1617:AC1619" si="458">AA1617/K1617*100</f>
        <v>31.818181818181817</v>
      </c>
      <c r="AD1617" s="1934">
        <f>AB1617/L1617*100</f>
        <v>15.4221392476137</v>
      </c>
      <c r="AE1617" s="1957"/>
    </row>
    <row r="1618" spans="1:31" ht="38.25">
      <c r="A1618" s="497"/>
      <c r="B1618" s="383"/>
      <c r="C1618" s="1236" t="s">
        <v>161</v>
      </c>
      <c r="D1618" s="1236" t="s">
        <v>2558</v>
      </c>
      <c r="E1618" s="1236" t="s">
        <v>107</v>
      </c>
      <c r="F1618" s="1236" t="s">
        <v>66</v>
      </c>
      <c r="G1618" s="1236" t="s">
        <v>155</v>
      </c>
      <c r="H1618" s="1236" t="s">
        <v>198</v>
      </c>
      <c r="I1618" s="1936" t="s">
        <v>2570</v>
      </c>
      <c r="J1618" s="1978" t="s">
        <v>2571</v>
      </c>
      <c r="K1618" s="1938">
        <v>30</v>
      </c>
      <c r="L1618" s="1947">
        <v>815000000</v>
      </c>
      <c r="M1618" s="1939">
        <v>10</v>
      </c>
      <c r="N1618" s="1940">
        <f>81853300+28419000</f>
        <v>110272300</v>
      </c>
      <c r="O1618" s="1938">
        <v>5</v>
      </c>
      <c r="P1618" s="1971">
        <v>94470619.25</v>
      </c>
      <c r="Q1618" s="64">
        <v>5</v>
      </c>
      <c r="R1618" s="1940">
        <v>77049500</v>
      </c>
      <c r="S1618" s="64"/>
      <c r="T1618" s="64"/>
      <c r="U1618" s="64"/>
      <c r="V1618" s="64"/>
      <c r="W1618" s="64"/>
      <c r="X1618" s="64"/>
      <c r="Y1618" s="1939">
        <f t="shared" si="457"/>
        <v>5</v>
      </c>
      <c r="Z1618" s="1942">
        <f t="shared" si="457"/>
        <v>77049500</v>
      </c>
      <c r="AA1618" s="1939">
        <f>M1618+Q1618</f>
        <v>15</v>
      </c>
      <c r="AB1618" s="1944">
        <f>N1618+Z1618</f>
        <v>187321800</v>
      </c>
      <c r="AC1618" s="1945">
        <f t="shared" si="458"/>
        <v>50</v>
      </c>
      <c r="AD1618" s="1946">
        <f>AB1618/L1618*100</f>
        <v>22.984269938650307</v>
      </c>
      <c r="AE1618" s="64" t="s">
        <v>2572</v>
      </c>
    </row>
    <row r="1619" spans="1:31" ht="25.5">
      <c r="A1619" s="497"/>
      <c r="B1619" s="383"/>
      <c r="C1619" s="1236" t="s">
        <v>161</v>
      </c>
      <c r="D1619" s="1236" t="s">
        <v>2558</v>
      </c>
      <c r="E1619" s="1236" t="s">
        <v>107</v>
      </c>
      <c r="F1619" s="1236" t="s">
        <v>66</v>
      </c>
      <c r="G1619" s="1236" t="s">
        <v>155</v>
      </c>
      <c r="H1619" s="1236" t="s">
        <v>201</v>
      </c>
      <c r="I1619" s="1936" t="s">
        <v>2573</v>
      </c>
      <c r="J1619" s="741" t="s">
        <v>2574</v>
      </c>
      <c r="K1619" s="1952">
        <v>89</v>
      </c>
      <c r="L1619" s="1947">
        <v>966000000</v>
      </c>
      <c r="M1619" s="1939">
        <v>6</v>
      </c>
      <c r="N1619" s="1940">
        <v>57757150</v>
      </c>
      <c r="O1619" s="1952">
        <v>20</v>
      </c>
      <c r="P1619" s="1940">
        <v>63735991.75</v>
      </c>
      <c r="Q1619" s="1939">
        <v>7</v>
      </c>
      <c r="R1619" s="1940">
        <v>29589350</v>
      </c>
      <c r="S1619" s="64"/>
      <c r="T1619" s="64"/>
      <c r="U1619" s="64"/>
      <c r="V1619" s="64"/>
      <c r="W1619" s="64"/>
      <c r="X1619" s="64"/>
      <c r="Y1619" s="1939">
        <f t="shared" si="457"/>
        <v>7</v>
      </c>
      <c r="Z1619" s="1942">
        <f t="shared" si="457"/>
        <v>29589350</v>
      </c>
      <c r="AA1619" s="1939">
        <f>M1619+Q1619</f>
        <v>13</v>
      </c>
      <c r="AB1619" s="1944">
        <f>N1619+Z1619</f>
        <v>87346500</v>
      </c>
      <c r="AC1619" s="1945">
        <f t="shared" si="458"/>
        <v>14.606741573033707</v>
      </c>
      <c r="AD1619" s="1946">
        <f>AB1619/L1619*100</f>
        <v>9.0420807453416145</v>
      </c>
      <c r="AE1619" s="64" t="s">
        <v>2572</v>
      </c>
    </row>
    <row r="1620" spans="1:31">
      <c r="A1620" s="2601" t="s">
        <v>2532</v>
      </c>
      <c r="B1620" s="2602"/>
      <c r="C1620" s="2602"/>
      <c r="D1620" s="2602"/>
      <c r="E1620" s="2602"/>
      <c r="F1620" s="2602"/>
      <c r="G1620" s="2602"/>
      <c r="H1620" s="2602"/>
      <c r="I1620" s="2602"/>
      <c r="J1620" s="2602"/>
      <c r="K1620" s="2602"/>
      <c r="L1620" s="2602"/>
      <c r="M1620" s="2602"/>
      <c r="N1620" s="2602"/>
      <c r="O1620" s="2602"/>
      <c r="P1620" s="2602"/>
      <c r="Q1620" s="2602"/>
      <c r="R1620" s="2602"/>
      <c r="S1620" s="2602"/>
      <c r="T1620" s="2602"/>
      <c r="U1620" s="2602"/>
      <c r="V1620" s="2602"/>
      <c r="W1620" s="2602"/>
      <c r="X1620" s="2602"/>
      <c r="Y1620" s="2602"/>
      <c r="Z1620" s="2602"/>
      <c r="AA1620" s="2602"/>
      <c r="AB1620" s="2603"/>
      <c r="AC1620" s="2029">
        <f>SUM(AC1618:AC1619)/2</f>
        <v>32.303370786516851</v>
      </c>
      <c r="AD1620" s="2029">
        <f>SUM(AD1618:AD1619)/2</f>
        <v>16.013175341995961</v>
      </c>
      <c r="AE1620" s="64"/>
    </row>
    <row r="1621" spans="1:31">
      <c r="A1621" s="2601" t="s">
        <v>2533</v>
      </c>
      <c r="B1621" s="2602"/>
      <c r="C1621" s="2602"/>
      <c r="D1621" s="2602"/>
      <c r="E1621" s="2602"/>
      <c r="F1621" s="2602"/>
      <c r="G1621" s="2602"/>
      <c r="H1621" s="2602"/>
      <c r="I1621" s="2602"/>
      <c r="J1621" s="2602"/>
      <c r="K1621" s="2602"/>
      <c r="L1621" s="2602"/>
      <c r="M1621" s="2602"/>
      <c r="N1621" s="2602"/>
      <c r="O1621" s="2602"/>
      <c r="P1621" s="2602"/>
      <c r="Q1621" s="2602"/>
      <c r="R1621" s="2602"/>
      <c r="S1621" s="2602"/>
      <c r="T1621" s="2602"/>
      <c r="U1621" s="2602"/>
      <c r="V1621" s="2602"/>
      <c r="W1621" s="2602"/>
      <c r="X1621" s="2602"/>
      <c r="Y1621" s="2602"/>
      <c r="Z1621" s="2602"/>
      <c r="AA1621" s="2602"/>
      <c r="AB1621" s="2603"/>
      <c r="AC1621" s="2026" t="s">
        <v>2534</v>
      </c>
      <c r="AD1621" s="2026" t="s">
        <v>2534</v>
      </c>
      <c r="AE1621" s="64"/>
    </row>
    <row r="1622" spans="1:31" ht="89.25">
      <c r="A1622" s="1922">
        <v>5</v>
      </c>
      <c r="B1622" s="1923" t="s">
        <v>2567</v>
      </c>
      <c r="C1622" s="1925" t="s">
        <v>161</v>
      </c>
      <c r="D1622" s="1925" t="s">
        <v>2558</v>
      </c>
      <c r="E1622" s="1925" t="s">
        <v>107</v>
      </c>
      <c r="F1622" s="1925" t="s">
        <v>66</v>
      </c>
      <c r="G1622" s="1925" t="s">
        <v>166</v>
      </c>
      <c r="H1622" s="1926"/>
      <c r="I1622" s="1926" t="s">
        <v>2575</v>
      </c>
      <c r="J1622" s="1923" t="s">
        <v>2576</v>
      </c>
      <c r="K1622" s="1979">
        <v>28</v>
      </c>
      <c r="L1622" s="1953">
        <f>L1624+L1625</f>
        <v>1560000000</v>
      </c>
      <c r="M1622" s="1932">
        <v>7</v>
      </c>
      <c r="N1622" s="1965">
        <f>N1624+N1625</f>
        <v>283753548</v>
      </c>
      <c r="O1622" s="1980">
        <v>4</v>
      </c>
      <c r="P1622" s="1965">
        <f>P1624+P1625</f>
        <v>147912275.25</v>
      </c>
      <c r="Q1622" s="1932">
        <v>1</v>
      </c>
      <c r="R1622" s="1933">
        <f>R1624+R1625</f>
        <v>5276500</v>
      </c>
      <c r="S1622" s="1957"/>
      <c r="T1622" s="1957"/>
      <c r="U1622" s="1957"/>
      <c r="V1622" s="1957"/>
      <c r="W1622" s="1957"/>
      <c r="X1622" s="1957"/>
      <c r="Y1622" s="1932">
        <f t="shared" ref="Y1622:Z1625" si="459">Q1622</f>
        <v>1</v>
      </c>
      <c r="Z1622" s="1933">
        <f t="shared" si="459"/>
        <v>5276500</v>
      </c>
      <c r="AA1622" s="1932">
        <f>M1622+Q1622</f>
        <v>8</v>
      </c>
      <c r="AB1622" s="1933">
        <f>N1622+Z1622</f>
        <v>289030048</v>
      </c>
      <c r="AC1622" s="1967">
        <f t="shared" ref="AC1622:AC1625" si="460">AA1622/K1622*100</f>
        <v>28.571428571428569</v>
      </c>
      <c r="AD1622" s="1968">
        <f>AB1622/L1622*100</f>
        <v>18.527567179487178</v>
      </c>
      <c r="AE1622" s="1957"/>
    </row>
    <row r="1623" spans="1:31" ht="51">
      <c r="A1623" s="1113"/>
      <c r="B1623" s="1926"/>
      <c r="C1623" s="1925"/>
      <c r="D1623" s="1925"/>
      <c r="E1623" s="1925"/>
      <c r="F1623" s="1925"/>
      <c r="G1623" s="1926"/>
      <c r="H1623" s="1926"/>
      <c r="I1623" s="1926"/>
      <c r="J1623" s="1973" t="s">
        <v>2577</v>
      </c>
      <c r="K1623" s="1981">
        <v>505</v>
      </c>
      <c r="L1623" s="1957"/>
      <c r="M1623" s="1932">
        <f>75+80</f>
        <v>155</v>
      </c>
      <c r="N1623" s="1933"/>
      <c r="O1623" s="1981">
        <v>80</v>
      </c>
      <c r="P1623" s="1965"/>
      <c r="Q1623" s="1957">
        <v>20</v>
      </c>
      <c r="R1623" s="1933"/>
      <c r="S1623" s="1957"/>
      <c r="T1623" s="1957"/>
      <c r="U1623" s="1957"/>
      <c r="V1623" s="1957"/>
      <c r="W1623" s="1957"/>
      <c r="X1623" s="1957"/>
      <c r="Y1623" s="1932">
        <f t="shared" si="459"/>
        <v>20</v>
      </c>
      <c r="Z1623" s="1982">
        <f t="shared" si="459"/>
        <v>0</v>
      </c>
      <c r="AA1623" s="1932">
        <f>M1623+Q1623</f>
        <v>175</v>
      </c>
      <c r="AB1623" s="1982">
        <f>N1623+Z1623</f>
        <v>0</v>
      </c>
      <c r="AC1623" s="1929">
        <f t="shared" si="460"/>
        <v>34.653465346534652</v>
      </c>
      <c r="AD1623" s="1968"/>
      <c r="AE1623" s="1957"/>
    </row>
    <row r="1624" spans="1:31">
      <c r="A1624" s="497"/>
      <c r="B1624" s="383"/>
      <c r="C1624" s="1236" t="s">
        <v>161</v>
      </c>
      <c r="D1624" s="1236" t="s">
        <v>2558</v>
      </c>
      <c r="E1624" s="1236" t="s">
        <v>107</v>
      </c>
      <c r="F1624" s="1236" t="s">
        <v>66</v>
      </c>
      <c r="G1624" s="1236" t="s">
        <v>166</v>
      </c>
      <c r="H1624" s="1236" t="s">
        <v>197</v>
      </c>
      <c r="I1624" s="1936" t="s">
        <v>2578</v>
      </c>
      <c r="J1624" s="741" t="s">
        <v>2579</v>
      </c>
      <c r="K1624" s="64">
        <v>55</v>
      </c>
      <c r="L1624" s="1698">
        <v>600000000</v>
      </c>
      <c r="M1624" s="1983">
        <v>35</v>
      </c>
      <c r="N1624" s="1940">
        <f>119809198+163944350</f>
        <v>283753548</v>
      </c>
      <c r="O1624" s="1952">
        <v>20</v>
      </c>
      <c r="P1624" s="1971">
        <v>106516843.5</v>
      </c>
      <c r="Q1624" s="1939">
        <v>2</v>
      </c>
      <c r="R1624" s="1940">
        <v>2986900</v>
      </c>
      <c r="S1624" s="64"/>
      <c r="T1624" s="64"/>
      <c r="U1624" s="64"/>
      <c r="V1624" s="64"/>
      <c r="W1624" s="64"/>
      <c r="X1624" s="64"/>
      <c r="Y1624" s="1939">
        <f t="shared" si="459"/>
        <v>2</v>
      </c>
      <c r="Z1624" s="1942">
        <f t="shared" si="459"/>
        <v>2986900</v>
      </c>
      <c r="AA1624" s="1939">
        <f>M1624+Q1624</f>
        <v>37</v>
      </c>
      <c r="AB1624" s="1944">
        <f>N1624+Z1624</f>
        <v>286740448</v>
      </c>
      <c r="AC1624" s="1945">
        <f t="shared" si="460"/>
        <v>67.272727272727266</v>
      </c>
      <c r="AD1624" s="1946">
        <f>AB1624/L1624*100</f>
        <v>47.790074666666662</v>
      </c>
      <c r="AE1624" s="64" t="s">
        <v>2572</v>
      </c>
    </row>
    <row r="1625" spans="1:31" ht="63.75">
      <c r="A1625" s="497"/>
      <c r="B1625" s="383"/>
      <c r="C1625" s="1236" t="s">
        <v>161</v>
      </c>
      <c r="D1625" s="1236" t="s">
        <v>2558</v>
      </c>
      <c r="E1625" s="1236" t="s">
        <v>107</v>
      </c>
      <c r="F1625" s="1236" t="s">
        <v>66</v>
      </c>
      <c r="G1625" s="1236" t="s">
        <v>166</v>
      </c>
      <c r="H1625" s="1236" t="s">
        <v>1129</v>
      </c>
      <c r="I1625" s="741" t="s">
        <v>2580</v>
      </c>
      <c r="J1625" s="741" t="s">
        <v>2581</v>
      </c>
      <c r="K1625" s="1938">
        <v>14</v>
      </c>
      <c r="L1625" s="1947">
        <v>960000000</v>
      </c>
      <c r="M1625" s="1939">
        <v>0</v>
      </c>
      <c r="N1625" s="1940"/>
      <c r="O1625" s="1938">
        <v>3</v>
      </c>
      <c r="P1625" s="1971">
        <v>41395431.75</v>
      </c>
      <c r="Q1625" s="1939">
        <v>1</v>
      </c>
      <c r="R1625" s="1940">
        <v>2289600</v>
      </c>
      <c r="S1625" s="64"/>
      <c r="T1625" s="64"/>
      <c r="U1625" s="64"/>
      <c r="V1625" s="64"/>
      <c r="W1625" s="64"/>
      <c r="X1625" s="64"/>
      <c r="Y1625" s="1939">
        <f t="shared" si="459"/>
        <v>1</v>
      </c>
      <c r="Z1625" s="1942">
        <f t="shared" si="459"/>
        <v>2289600</v>
      </c>
      <c r="AA1625" s="1939">
        <f>M1625+Q1625</f>
        <v>1</v>
      </c>
      <c r="AB1625" s="1944">
        <f>N1625+Z1625</f>
        <v>2289600</v>
      </c>
      <c r="AC1625" s="1945">
        <f t="shared" si="460"/>
        <v>7.1428571428571423</v>
      </c>
      <c r="AD1625" s="1946">
        <f>AB1625/L1625*100</f>
        <v>0.23849999999999999</v>
      </c>
      <c r="AE1625" s="64" t="s">
        <v>2572</v>
      </c>
    </row>
    <row r="1626" spans="1:31">
      <c r="A1626" s="2601" t="s">
        <v>2532</v>
      </c>
      <c r="B1626" s="2602"/>
      <c r="C1626" s="2602"/>
      <c r="D1626" s="2602"/>
      <c r="E1626" s="2602"/>
      <c r="F1626" s="2602"/>
      <c r="G1626" s="2602"/>
      <c r="H1626" s="2602"/>
      <c r="I1626" s="2602"/>
      <c r="J1626" s="2602"/>
      <c r="K1626" s="2602"/>
      <c r="L1626" s="2602"/>
      <c r="M1626" s="2602"/>
      <c r="N1626" s="2602"/>
      <c r="O1626" s="2602"/>
      <c r="P1626" s="2602"/>
      <c r="Q1626" s="2602"/>
      <c r="R1626" s="2602"/>
      <c r="S1626" s="2602"/>
      <c r="T1626" s="2602"/>
      <c r="U1626" s="2602"/>
      <c r="V1626" s="2602"/>
      <c r="W1626" s="2602"/>
      <c r="X1626" s="2602"/>
      <c r="Y1626" s="2602"/>
      <c r="Z1626" s="2602"/>
      <c r="AA1626" s="2602"/>
      <c r="AB1626" s="2603"/>
      <c r="AC1626" s="1963">
        <f>(AC1624+AC1625)/2</f>
        <v>37.207792207792203</v>
      </c>
      <c r="AD1626" s="1963">
        <f>(AD1624+AD1625)/2</f>
        <v>24.014287333333332</v>
      </c>
      <c r="AE1626" s="64"/>
    </row>
    <row r="1627" spans="1:31">
      <c r="A1627" s="2601" t="s">
        <v>2533</v>
      </c>
      <c r="B1627" s="2602"/>
      <c r="C1627" s="2602"/>
      <c r="D1627" s="2602"/>
      <c r="E1627" s="2602"/>
      <c r="F1627" s="2602"/>
      <c r="G1627" s="2602"/>
      <c r="H1627" s="2602"/>
      <c r="I1627" s="2602"/>
      <c r="J1627" s="2602"/>
      <c r="K1627" s="2602"/>
      <c r="L1627" s="2602"/>
      <c r="M1627" s="2602"/>
      <c r="N1627" s="2602"/>
      <c r="O1627" s="2602"/>
      <c r="P1627" s="2602"/>
      <c r="Q1627" s="2602"/>
      <c r="R1627" s="2602"/>
      <c r="S1627" s="2602"/>
      <c r="T1627" s="2602"/>
      <c r="U1627" s="2602"/>
      <c r="V1627" s="2602"/>
      <c r="W1627" s="2602"/>
      <c r="X1627" s="2602"/>
      <c r="Y1627" s="2602"/>
      <c r="Z1627" s="2602"/>
      <c r="AA1627" s="2602"/>
      <c r="AB1627" s="2603"/>
      <c r="AC1627" s="2026" t="s">
        <v>2534</v>
      </c>
      <c r="AD1627" s="2028" t="s">
        <v>2534</v>
      </c>
      <c r="AE1627" s="64"/>
    </row>
    <row r="1628" spans="1:31" ht="127.5">
      <c r="A1628" s="1922">
        <v>6</v>
      </c>
      <c r="B1628" s="1923" t="s">
        <v>2567</v>
      </c>
      <c r="C1628" s="1925" t="s">
        <v>161</v>
      </c>
      <c r="D1628" s="1925" t="s">
        <v>2558</v>
      </c>
      <c r="E1628" s="1925" t="s">
        <v>107</v>
      </c>
      <c r="F1628" s="1925" t="s">
        <v>66</v>
      </c>
      <c r="G1628" s="1925" t="s">
        <v>448</v>
      </c>
      <c r="H1628" s="1925"/>
      <c r="I1628" s="1926" t="s">
        <v>2582</v>
      </c>
      <c r="J1628" s="1923" t="s">
        <v>2583</v>
      </c>
      <c r="K1628" s="1984">
        <f>90*4</f>
        <v>360</v>
      </c>
      <c r="L1628" s="1985">
        <f>L1630+L1632+L1633+L1631</f>
        <v>4450000000</v>
      </c>
      <c r="M1628" s="1932"/>
      <c r="N1628" s="1985">
        <f>N1630+N1632+N1633+N1631</f>
        <v>730358109</v>
      </c>
      <c r="O1628" s="1986">
        <v>90</v>
      </c>
      <c r="P1628" s="1985">
        <f>P1630+P1632+P1633+P1631</f>
        <v>428720074.5</v>
      </c>
      <c r="Q1628" s="1931"/>
      <c r="R1628" s="1965">
        <f>R1630+R1632+R1633+R1631</f>
        <v>55952400</v>
      </c>
      <c r="S1628" s="1957"/>
      <c r="T1628" s="1957"/>
      <c r="U1628" s="1957"/>
      <c r="V1628" s="1957"/>
      <c r="W1628" s="1957"/>
      <c r="X1628" s="1957"/>
      <c r="Y1628" s="2000">
        <f t="shared" ref="Y1628:Z1634" si="461">Q1628</f>
        <v>0</v>
      </c>
      <c r="Z1628" s="1933">
        <f t="shared" si="461"/>
        <v>55952400</v>
      </c>
      <c r="AA1628" s="1932">
        <f t="shared" ref="AA1628:AA1633" si="462">M1628+Q1628</f>
        <v>0</v>
      </c>
      <c r="AB1628" s="1933">
        <f t="shared" ref="AB1628:AB1634" si="463">N1628+Z1628</f>
        <v>786310509</v>
      </c>
      <c r="AC1628" s="1967">
        <v>0</v>
      </c>
      <c r="AD1628" s="1968">
        <f>AB1628/L1628*100</f>
        <v>17.669899078651685</v>
      </c>
      <c r="AE1628" s="1957"/>
    </row>
    <row r="1629" spans="1:31" ht="89.25">
      <c r="A1629" s="1113"/>
      <c r="B1629" s="1926"/>
      <c r="C1629" s="1925"/>
      <c r="D1629" s="1925"/>
      <c r="E1629" s="1925"/>
      <c r="F1629" s="1925"/>
      <c r="G1629" s="1926"/>
      <c r="H1629" s="1926"/>
      <c r="I1629" s="1926"/>
      <c r="J1629" s="1923" t="s">
        <v>2584</v>
      </c>
      <c r="K1629" s="1986">
        <v>490</v>
      </c>
      <c r="L1629" s="1957"/>
      <c r="M1629" s="1932">
        <f>70+75</f>
        <v>145</v>
      </c>
      <c r="N1629" s="1957"/>
      <c r="O1629" s="1986">
        <v>80</v>
      </c>
      <c r="P1629" s="1965"/>
      <c r="Q1629" s="1957">
        <v>20</v>
      </c>
      <c r="R1629" s="1965"/>
      <c r="S1629" s="1957"/>
      <c r="T1629" s="1957"/>
      <c r="U1629" s="1957"/>
      <c r="V1629" s="1957"/>
      <c r="W1629" s="1957"/>
      <c r="X1629" s="1957"/>
      <c r="Y1629" s="1932">
        <f t="shared" si="461"/>
        <v>20</v>
      </c>
      <c r="Z1629" s="1982">
        <f t="shared" si="461"/>
        <v>0</v>
      </c>
      <c r="AA1629" s="1932">
        <f t="shared" si="462"/>
        <v>165</v>
      </c>
      <c r="AB1629" s="1982">
        <f t="shared" si="463"/>
        <v>0</v>
      </c>
      <c r="AC1629" s="1929">
        <f t="shared" ref="AC1629:AC1633" si="464">AA1629/K1629*100</f>
        <v>33.673469387755098</v>
      </c>
      <c r="AD1629" s="1968"/>
      <c r="AE1629" s="1957"/>
    </row>
    <row r="1630" spans="1:31" ht="63.75">
      <c r="A1630" s="497"/>
      <c r="B1630" s="383"/>
      <c r="C1630" s="1236" t="s">
        <v>161</v>
      </c>
      <c r="D1630" s="1236" t="s">
        <v>2558</v>
      </c>
      <c r="E1630" s="1236" t="s">
        <v>107</v>
      </c>
      <c r="F1630" s="1236" t="s">
        <v>66</v>
      </c>
      <c r="G1630" s="1236" t="s">
        <v>448</v>
      </c>
      <c r="H1630" s="1236" t="s">
        <v>95</v>
      </c>
      <c r="I1630" s="1936" t="s">
        <v>2585</v>
      </c>
      <c r="J1630" s="741" t="s">
        <v>2586</v>
      </c>
      <c r="K1630" s="1938">
        <f>22*6</f>
        <v>132</v>
      </c>
      <c r="L1630" s="1947">
        <v>1480000000</v>
      </c>
      <c r="M1630" s="1939">
        <f>22+22</f>
        <v>44</v>
      </c>
      <c r="N1630" s="1940">
        <f>172872400+136969100</f>
        <v>309841500</v>
      </c>
      <c r="O1630" s="1938">
        <v>22</v>
      </c>
      <c r="P1630" s="1971">
        <v>145519457.5</v>
      </c>
      <c r="Q1630" s="1939">
        <v>4</v>
      </c>
      <c r="R1630" s="1940">
        <v>12456300</v>
      </c>
      <c r="S1630" s="64"/>
      <c r="T1630" s="64"/>
      <c r="U1630" s="64"/>
      <c r="V1630" s="64"/>
      <c r="W1630" s="64"/>
      <c r="X1630" s="64"/>
      <c r="Y1630" s="1939">
        <f t="shared" si="461"/>
        <v>4</v>
      </c>
      <c r="Z1630" s="1942">
        <f t="shared" si="461"/>
        <v>12456300</v>
      </c>
      <c r="AA1630" s="1939">
        <f t="shared" si="462"/>
        <v>48</v>
      </c>
      <c r="AB1630" s="1944">
        <f t="shared" si="463"/>
        <v>322297800</v>
      </c>
      <c r="AC1630" s="1945">
        <f t="shared" si="464"/>
        <v>36.363636363636367</v>
      </c>
      <c r="AD1630" s="1946">
        <f>AB1630/L1630*100</f>
        <v>21.776878378378377</v>
      </c>
      <c r="AE1630" s="64" t="s">
        <v>2572</v>
      </c>
    </row>
    <row r="1631" spans="1:31" ht="25.5">
      <c r="A1631" s="497"/>
      <c r="B1631" s="383"/>
      <c r="C1631" s="1236" t="s">
        <v>161</v>
      </c>
      <c r="D1631" s="1236" t="s">
        <v>2558</v>
      </c>
      <c r="E1631" s="1236" t="s">
        <v>107</v>
      </c>
      <c r="F1631" s="1236" t="s">
        <v>66</v>
      </c>
      <c r="G1631" s="1236" t="s">
        <v>448</v>
      </c>
      <c r="H1631" s="1236" t="s">
        <v>161</v>
      </c>
      <c r="I1631" s="1936" t="s">
        <v>2587</v>
      </c>
      <c r="J1631" s="741" t="s">
        <v>2588</v>
      </c>
      <c r="K1631" s="1952">
        <v>50</v>
      </c>
      <c r="L1631" s="1947">
        <v>250000000</v>
      </c>
      <c r="M1631" s="1939">
        <v>10</v>
      </c>
      <c r="N1631" s="1940">
        <v>35104079</v>
      </c>
      <c r="O1631" s="1952">
        <v>10</v>
      </c>
      <c r="P1631" s="1940">
        <v>31691413</v>
      </c>
      <c r="Q1631" s="1939">
        <v>1</v>
      </c>
      <c r="R1631" s="1940">
        <v>1242000</v>
      </c>
      <c r="S1631" s="64"/>
      <c r="T1631" s="64"/>
      <c r="U1631" s="64"/>
      <c r="V1631" s="64"/>
      <c r="W1631" s="64"/>
      <c r="X1631" s="64"/>
      <c r="Y1631" s="1939">
        <f t="shared" si="461"/>
        <v>1</v>
      </c>
      <c r="Z1631" s="1942">
        <f t="shared" si="461"/>
        <v>1242000</v>
      </c>
      <c r="AA1631" s="1939">
        <f t="shared" si="462"/>
        <v>11</v>
      </c>
      <c r="AB1631" s="1944">
        <f t="shared" si="463"/>
        <v>36346079</v>
      </c>
      <c r="AC1631" s="1945">
        <f t="shared" si="464"/>
        <v>22</v>
      </c>
      <c r="AD1631" s="1946">
        <f>AB1631/L1631*100</f>
        <v>14.538431600000001</v>
      </c>
      <c r="AE1631" s="64" t="s">
        <v>2589</v>
      </c>
    </row>
    <row r="1632" spans="1:31" ht="102">
      <c r="A1632" s="497"/>
      <c r="B1632" s="383"/>
      <c r="C1632" s="1236" t="s">
        <v>161</v>
      </c>
      <c r="D1632" s="1236" t="s">
        <v>2558</v>
      </c>
      <c r="E1632" s="1236" t="s">
        <v>107</v>
      </c>
      <c r="F1632" s="1236" t="s">
        <v>66</v>
      </c>
      <c r="G1632" s="1236" t="s">
        <v>448</v>
      </c>
      <c r="H1632" s="1236" t="s">
        <v>197</v>
      </c>
      <c r="I1632" s="1936" t="s">
        <v>2590</v>
      </c>
      <c r="J1632" s="741" t="s">
        <v>2591</v>
      </c>
      <c r="K1632" s="1938">
        <v>21</v>
      </c>
      <c r="L1632" s="1947">
        <v>1740000000</v>
      </c>
      <c r="M1632" s="1939">
        <v>4</v>
      </c>
      <c r="N1632" s="1940">
        <f>90725000+97740850</f>
        <v>188465850</v>
      </c>
      <c r="O1632" s="1938">
        <v>2</v>
      </c>
      <c r="P1632" s="1971">
        <v>55629907.75</v>
      </c>
      <c r="Q1632" s="1939">
        <v>2</v>
      </c>
      <c r="R1632" s="1940">
        <v>42254100</v>
      </c>
      <c r="S1632" s="64"/>
      <c r="T1632" s="64"/>
      <c r="U1632" s="64"/>
      <c r="V1632" s="64"/>
      <c r="W1632" s="64"/>
      <c r="X1632" s="64"/>
      <c r="Y1632" s="1939">
        <f t="shared" si="461"/>
        <v>2</v>
      </c>
      <c r="Z1632" s="1942">
        <f t="shared" si="461"/>
        <v>42254100</v>
      </c>
      <c r="AA1632" s="1940">
        <f t="shared" si="462"/>
        <v>6</v>
      </c>
      <c r="AB1632" s="1944">
        <f t="shared" si="463"/>
        <v>230719950</v>
      </c>
      <c r="AC1632" s="1945">
        <f t="shared" si="464"/>
        <v>28.571428571428569</v>
      </c>
      <c r="AD1632" s="1946">
        <f>AB1632/L1632*100</f>
        <v>13.259767241379311</v>
      </c>
      <c r="AE1632" s="64" t="s">
        <v>2572</v>
      </c>
    </row>
    <row r="1633" spans="1:31" ht="38.25">
      <c r="A1633" s="497"/>
      <c r="B1633" s="383"/>
      <c r="C1633" s="1236" t="s">
        <v>161</v>
      </c>
      <c r="D1633" s="1236" t="s">
        <v>2558</v>
      </c>
      <c r="E1633" s="1236" t="s">
        <v>107</v>
      </c>
      <c r="F1633" s="1236" t="s">
        <v>66</v>
      </c>
      <c r="G1633" s="1236" t="s">
        <v>448</v>
      </c>
      <c r="H1633" s="1236" t="s">
        <v>67</v>
      </c>
      <c r="I1633" s="1936" t="s">
        <v>2592</v>
      </c>
      <c r="J1633" s="741" t="s">
        <v>2593</v>
      </c>
      <c r="K1633" s="1952">
        <f>1200*4</f>
        <v>4800</v>
      </c>
      <c r="L1633" s="1947">
        <v>980000000</v>
      </c>
      <c r="M1633" s="1939"/>
      <c r="N1633" s="1940">
        <f>196946680</f>
        <v>196946680</v>
      </c>
      <c r="O1633" s="1952">
        <v>1200</v>
      </c>
      <c r="P1633" s="1971">
        <v>195879296.25</v>
      </c>
      <c r="Q1633" s="1959"/>
      <c r="R1633" s="1940">
        <v>0</v>
      </c>
      <c r="S1633" s="64"/>
      <c r="T1633" s="64"/>
      <c r="U1633" s="64"/>
      <c r="V1633" s="64"/>
      <c r="W1633" s="64"/>
      <c r="X1633" s="64"/>
      <c r="Y1633" s="1959">
        <f t="shared" si="461"/>
        <v>0</v>
      </c>
      <c r="Z1633" s="1942">
        <f t="shared" si="461"/>
        <v>0</v>
      </c>
      <c r="AA1633" s="1940">
        <f t="shared" si="462"/>
        <v>0</v>
      </c>
      <c r="AB1633" s="1944">
        <f t="shared" si="463"/>
        <v>196946680</v>
      </c>
      <c r="AC1633" s="1945">
        <f t="shared" si="464"/>
        <v>0</v>
      </c>
      <c r="AD1633" s="1946">
        <f>AB1633/L1633*100</f>
        <v>20.096600000000002</v>
      </c>
      <c r="AE1633" s="754" t="s">
        <v>2594</v>
      </c>
    </row>
    <row r="1634" spans="1:31" ht="25.5">
      <c r="A1634" s="497"/>
      <c r="B1634" s="383"/>
      <c r="C1634" s="1236"/>
      <c r="D1634" s="1236"/>
      <c r="E1634" s="1236"/>
      <c r="F1634" s="1236"/>
      <c r="G1634" s="383"/>
      <c r="H1634" s="383"/>
      <c r="I1634" s="1936"/>
      <c r="J1634" s="741" t="s">
        <v>2595</v>
      </c>
      <c r="K1634" s="1938">
        <v>1</v>
      </c>
      <c r="L1634" s="1947"/>
      <c r="M1634" s="1939"/>
      <c r="N1634" s="1940"/>
      <c r="O1634" s="1938">
        <v>1</v>
      </c>
      <c r="P1634" s="1971"/>
      <c r="Q1634" s="1959"/>
      <c r="R1634" s="1940"/>
      <c r="S1634" s="64"/>
      <c r="T1634" s="64"/>
      <c r="U1634" s="64"/>
      <c r="V1634" s="64"/>
      <c r="W1634" s="64"/>
      <c r="X1634" s="64"/>
      <c r="Y1634" s="1959">
        <f t="shared" si="461"/>
        <v>0</v>
      </c>
      <c r="Z1634" s="1942">
        <f t="shared" si="461"/>
        <v>0</v>
      </c>
      <c r="AA1634" s="1946"/>
      <c r="AB1634" s="1944">
        <f t="shared" si="463"/>
        <v>0</v>
      </c>
      <c r="AC1634" s="64"/>
      <c r="AD1634" s="1946"/>
      <c r="AE1634" s="64"/>
    </row>
    <row r="1635" spans="1:31">
      <c r="A1635" s="2601" t="s">
        <v>2532</v>
      </c>
      <c r="B1635" s="2602"/>
      <c r="C1635" s="2602"/>
      <c r="D1635" s="2602"/>
      <c r="E1635" s="2602"/>
      <c r="F1635" s="2602"/>
      <c r="G1635" s="2602"/>
      <c r="H1635" s="2602"/>
      <c r="I1635" s="2602"/>
      <c r="J1635" s="2602"/>
      <c r="K1635" s="2602"/>
      <c r="L1635" s="2602"/>
      <c r="M1635" s="2602"/>
      <c r="N1635" s="2602"/>
      <c r="O1635" s="2602"/>
      <c r="P1635" s="2602"/>
      <c r="Q1635" s="2602"/>
      <c r="R1635" s="2602"/>
      <c r="S1635" s="2602"/>
      <c r="T1635" s="2602"/>
      <c r="U1635" s="2602"/>
      <c r="V1635" s="2602"/>
      <c r="W1635" s="2602"/>
      <c r="X1635" s="2602"/>
      <c r="Y1635" s="2602"/>
      <c r="Z1635" s="2602"/>
      <c r="AA1635" s="2602"/>
      <c r="AB1635" s="2603"/>
      <c r="AC1635" s="1963">
        <f>SUM(AC1630:AC1634)/5</f>
        <v>17.387012987012987</v>
      </c>
      <c r="AD1635" s="1963">
        <f>SUM(AD1630:AD1634)/5</f>
        <v>13.934335443951539</v>
      </c>
      <c r="AE1635" s="64"/>
    </row>
    <row r="1636" spans="1:31">
      <c r="A1636" s="2601" t="s">
        <v>2533</v>
      </c>
      <c r="B1636" s="2602"/>
      <c r="C1636" s="2602"/>
      <c r="D1636" s="2602"/>
      <c r="E1636" s="2602"/>
      <c r="F1636" s="2602"/>
      <c r="G1636" s="2602"/>
      <c r="H1636" s="2602"/>
      <c r="I1636" s="2602"/>
      <c r="J1636" s="2602"/>
      <c r="K1636" s="2602"/>
      <c r="L1636" s="2602"/>
      <c r="M1636" s="2602"/>
      <c r="N1636" s="2602"/>
      <c r="O1636" s="2602"/>
      <c r="P1636" s="2602"/>
      <c r="Q1636" s="2602"/>
      <c r="R1636" s="2602"/>
      <c r="S1636" s="2602"/>
      <c r="T1636" s="2602"/>
      <c r="U1636" s="2602"/>
      <c r="V1636" s="2602"/>
      <c r="W1636" s="2602"/>
      <c r="X1636" s="2602"/>
      <c r="Y1636" s="2602"/>
      <c r="Z1636" s="2602"/>
      <c r="AA1636" s="2602"/>
      <c r="AB1636" s="2603"/>
      <c r="AC1636" s="1883" t="s">
        <v>2534</v>
      </c>
      <c r="AD1636" s="2030" t="s">
        <v>2534</v>
      </c>
      <c r="AE1636" s="64"/>
    </row>
    <row r="1637" spans="1:31" ht="76.5">
      <c r="A1637" s="1922">
        <v>7</v>
      </c>
      <c r="B1637" s="1923" t="s">
        <v>2567</v>
      </c>
      <c r="C1637" s="1925" t="s">
        <v>161</v>
      </c>
      <c r="D1637" s="1925" t="s">
        <v>2558</v>
      </c>
      <c r="E1637" s="1925" t="s">
        <v>107</v>
      </c>
      <c r="F1637" s="1925" t="s">
        <v>66</v>
      </c>
      <c r="G1637" s="1925" t="s">
        <v>357</v>
      </c>
      <c r="H1637" s="1926"/>
      <c r="I1637" s="1926" t="s">
        <v>2596</v>
      </c>
      <c r="J1637" s="1987" t="s">
        <v>2597</v>
      </c>
      <c r="K1637" s="1988">
        <v>28</v>
      </c>
      <c r="L1637" s="1953">
        <f>L1638</f>
        <v>1263000000</v>
      </c>
      <c r="M1637" s="1932">
        <v>7</v>
      </c>
      <c r="N1637" s="1933">
        <f>N1638</f>
        <v>195938400</v>
      </c>
      <c r="O1637" s="1980">
        <v>4</v>
      </c>
      <c r="P1637" s="1931">
        <f>P1638</f>
        <v>83600077.5</v>
      </c>
      <c r="Q1637" s="1989">
        <v>1</v>
      </c>
      <c r="R1637" s="1955">
        <f>R1638</f>
        <v>2979000</v>
      </c>
      <c r="S1637" s="1957"/>
      <c r="T1637" s="1957"/>
      <c r="U1637" s="1957"/>
      <c r="V1637" s="1957"/>
      <c r="W1637" s="1957"/>
      <c r="X1637" s="1957"/>
      <c r="Y1637" s="1989">
        <f>Q1637</f>
        <v>1</v>
      </c>
      <c r="Z1637" s="1982">
        <f>R1637</f>
        <v>2979000</v>
      </c>
      <c r="AA1637" s="1989">
        <f>M1637+Q1637</f>
        <v>8</v>
      </c>
      <c r="AB1637" s="1982">
        <f>N1637+Z1637</f>
        <v>198917400</v>
      </c>
      <c r="AC1637" s="1967">
        <f t="shared" ref="AC1637:AC1638" si="465">AA1637/K1637*100</f>
        <v>28.571428571428569</v>
      </c>
      <c r="AD1637" s="1968">
        <f>AB1637/L1637*100</f>
        <v>15.749596199524941</v>
      </c>
      <c r="AE1637" s="1957"/>
    </row>
    <row r="1638" spans="1:31" ht="51">
      <c r="A1638" s="497"/>
      <c r="B1638" s="383"/>
      <c r="C1638" s="1236" t="s">
        <v>161</v>
      </c>
      <c r="D1638" s="1236" t="s">
        <v>2558</v>
      </c>
      <c r="E1638" s="1236" t="s">
        <v>107</v>
      </c>
      <c r="F1638" s="1236" t="s">
        <v>66</v>
      </c>
      <c r="G1638" s="1236" t="s">
        <v>357</v>
      </c>
      <c r="H1638" s="1236" t="s">
        <v>65</v>
      </c>
      <c r="I1638" s="1936" t="s">
        <v>2598</v>
      </c>
      <c r="J1638" s="741" t="s">
        <v>2599</v>
      </c>
      <c r="K1638" s="1938">
        <v>24</v>
      </c>
      <c r="L1638" s="1947">
        <v>1263000000</v>
      </c>
      <c r="M1638" s="1983">
        <v>8</v>
      </c>
      <c r="N1638" s="1940">
        <f>76943350+118995050</f>
        <v>195938400</v>
      </c>
      <c r="O1638" s="1938">
        <v>4</v>
      </c>
      <c r="P1638" s="1971">
        <v>83600077.5</v>
      </c>
      <c r="Q1638" s="1939">
        <v>1</v>
      </c>
      <c r="R1638" s="1940">
        <v>2979000</v>
      </c>
      <c r="S1638" s="64"/>
      <c r="T1638" s="64"/>
      <c r="U1638" s="64"/>
      <c r="V1638" s="64"/>
      <c r="W1638" s="64"/>
      <c r="X1638" s="64"/>
      <c r="Y1638" s="1939">
        <f>Q1638</f>
        <v>1</v>
      </c>
      <c r="Z1638" s="1942">
        <f>R1638</f>
        <v>2979000</v>
      </c>
      <c r="AA1638" s="1940">
        <f>M1638+Q1638</f>
        <v>9</v>
      </c>
      <c r="AB1638" s="1944">
        <f>N1638+Z1638</f>
        <v>198917400</v>
      </c>
      <c r="AC1638" s="1945">
        <f t="shared" si="465"/>
        <v>37.5</v>
      </c>
      <c r="AD1638" s="1946">
        <f>AB1638/L1638*100</f>
        <v>15.749596199524941</v>
      </c>
      <c r="AE1638" s="64" t="s">
        <v>2572</v>
      </c>
    </row>
    <row r="1639" spans="1:31">
      <c r="A1639" s="2601" t="s">
        <v>2532</v>
      </c>
      <c r="B1639" s="2602"/>
      <c r="C1639" s="2602"/>
      <c r="D1639" s="2602"/>
      <c r="E1639" s="2602"/>
      <c r="F1639" s="2602"/>
      <c r="G1639" s="2602"/>
      <c r="H1639" s="2602"/>
      <c r="I1639" s="2602"/>
      <c r="J1639" s="2602"/>
      <c r="K1639" s="2602"/>
      <c r="L1639" s="2602"/>
      <c r="M1639" s="2602"/>
      <c r="N1639" s="2602"/>
      <c r="O1639" s="2602"/>
      <c r="P1639" s="2602"/>
      <c r="Q1639" s="2602"/>
      <c r="R1639" s="2602"/>
      <c r="S1639" s="2602"/>
      <c r="T1639" s="2602"/>
      <c r="U1639" s="2602"/>
      <c r="V1639" s="2602"/>
      <c r="W1639" s="2602"/>
      <c r="X1639" s="2602"/>
      <c r="Y1639" s="2602"/>
      <c r="Z1639" s="2602"/>
      <c r="AA1639" s="2602"/>
      <c r="AB1639" s="2603"/>
      <c r="AC1639" s="1963">
        <f>AC1638</f>
        <v>37.5</v>
      </c>
      <c r="AD1639" s="2031">
        <f>AD1638</f>
        <v>15.749596199524941</v>
      </c>
      <c r="AE1639" s="64"/>
    </row>
    <row r="1640" spans="1:31">
      <c r="A1640" s="2601" t="s">
        <v>2533</v>
      </c>
      <c r="B1640" s="2602"/>
      <c r="C1640" s="2602"/>
      <c r="D1640" s="2602"/>
      <c r="E1640" s="2602"/>
      <c r="F1640" s="2602"/>
      <c r="G1640" s="2602"/>
      <c r="H1640" s="2602"/>
      <c r="I1640" s="2602"/>
      <c r="J1640" s="2602"/>
      <c r="K1640" s="2602"/>
      <c r="L1640" s="2602"/>
      <c r="M1640" s="2602"/>
      <c r="N1640" s="2602"/>
      <c r="O1640" s="2602"/>
      <c r="P1640" s="2602"/>
      <c r="Q1640" s="2602"/>
      <c r="R1640" s="2602"/>
      <c r="S1640" s="2602"/>
      <c r="T1640" s="2602"/>
      <c r="U1640" s="2602"/>
      <c r="V1640" s="2602"/>
      <c r="W1640" s="2602"/>
      <c r="X1640" s="2602"/>
      <c r="Y1640" s="2602"/>
      <c r="Z1640" s="2602"/>
      <c r="AA1640" s="2602"/>
      <c r="AB1640" s="2603"/>
      <c r="AC1640" s="1883" t="s">
        <v>2534</v>
      </c>
      <c r="AD1640" s="2030" t="s">
        <v>2534</v>
      </c>
      <c r="AE1640" s="64"/>
    </row>
    <row r="1641" spans="1:31" s="63" customFormat="1" ht="102">
      <c r="A1641" s="495">
        <v>8</v>
      </c>
      <c r="B1641" s="344" t="s">
        <v>2600</v>
      </c>
      <c r="C1641" s="1236" t="s">
        <v>161</v>
      </c>
      <c r="D1641" s="1236" t="s">
        <v>2558</v>
      </c>
      <c r="E1641" s="1236" t="s">
        <v>107</v>
      </c>
      <c r="F1641" s="1236" t="s">
        <v>66</v>
      </c>
      <c r="G1641" s="1236" t="s">
        <v>376</v>
      </c>
      <c r="H1641" s="383"/>
      <c r="I1641" s="383" t="s">
        <v>2601</v>
      </c>
      <c r="J1641" s="618" t="s">
        <v>2602</v>
      </c>
      <c r="K1641" s="2168">
        <v>495</v>
      </c>
      <c r="L1641" s="2128">
        <f>L1642</f>
        <v>4358000000</v>
      </c>
      <c r="M1641" s="633">
        <f>75+70</f>
        <v>145</v>
      </c>
      <c r="N1641" s="2125">
        <f>N1642</f>
        <v>723739200</v>
      </c>
      <c r="O1641" s="2131">
        <v>80</v>
      </c>
      <c r="P1641" s="2123">
        <f>P1642</f>
        <v>432703267.25</v>
      </c>
      <c r="Q1641" s="633">
        <v>20</v>
      </c>
      <c r="R1641" s="2121">
        <f>R1642</f>
        <v>9488600</v>
      </c>
      <c r="S1641" s="616"/>
      <c r="T1641" s="616"/>
      <c r="U1641" s="616"/>
      <c r="V1641" s="616"/>
      <c r="W1641" s="616"/>
      <c r="X1641" s="616"/>
      <c r="Y1641" s="633">
        <f>Q1641</f>
        <v>20</v>
      </c>
      <c r="Z1641" s="1944">
        <f>R1641</f>
        <v>9488600</v>
      </c>
      <c r="AA1641" s="2129">
        <f>M1641+Q1641</f>
        <v>165</v>
      </c>
      <c r="AB1641" s="1944">
        <f>N1641+Z1641</f>
        <v>733227800</v>
      </c>
      <c r="AC1641" s="2126">
        <f t="shared" ref="AC1641:AC1642" si="466">AA1641/K1641*100</f>
        <v>33.333333333333329</v>
      </c>
      <c r="AD1641" s="389">
        <f>AB1641/L1641*100</f>
        <v>16.824869206057823</v>
      </c>
      <c r="AE1641" s="616"/>
    </row>
    <row r="1642" spans="1:31" s="63" customFormat="1" ht="51">
      <c r="A1642" s="497"/>
      <c r="B1642" s="383"/>
      <c r="C1642" s="1236" t="s">
        <v>161</v>
      </c>
      <c r="D1642" s="1236" t="s">
        <v>2558</v>
      </c>
      <c r="E1642" s="1236" t="s">
        <v>107</v>
      </c>
      <c r="F1642" s="1236" t="s">
        <v>66</v>
      </c>
      <c r="G1642" s="1236" t="s">
        <v>376</v>
      </c>
      <c r="H1642" s="1236" t="s">
        <v>202</v>
      </c>
      <c r="I1642" s="384" t="s">
        <v>2603</v>
      </c>
      <c r="J1642" s="741" t="s">
        <v>2604</v>
      </c>
      <c r="K1642" s="2148">
        <v>120</v>
      </c>
      <c r="L1642" s="2144">
        <v>4358000000</v>
      </c>
      <c r="M1642" s="2165"/>
      <c r="N1642" s="2047">
        <f>286763900+436975300</f>
        <v>723739200</v>
      </c>
      <c r="O1642" s="2148">
        <v>30</v>
      </c>
      <c r="P1642" s="1941">
        <v>432703267.25</v>
      </c>
      <c r="Q1642" s="385">
        <v>15</v>
      </c>
      <c r="R1642" s="2047">
        <v>9488600</v>
      </c>
      <c r="S1642" s="385"/>
      <c r="T1642" s="385"/>
      <c r="U1642" s="385"/>
      <c r="V1642" s="385"/>
      <c r="W1642" s="385"/>
      <c r="X1642" s="385"/>
      <c r="Y1642" s="2129">
        <f>Q1642</f>
        <v>15</v>
      </c>
      <c r="Z1642" s="1944">
        <f>R1642</f>
        <v>9488600</v>
      </c>
      <c r="AA1642" s="2129">
        <f>M1642+Q1642</f>
        <v>15</v>
      </c>
      <c r="AB1642" s="1944">
        <f>N1642+Z1642</f>
        <v>733227800</v>
      </c>
      <c r="AC1642" s="2126">
        <f t="shared" si="466"/>
        <v>12.5</v>
      </c>
      <c r="AD1642" s="389">
        <f>AB1642/L1642*100</f>
        <v>16.824869206057823</v>
      </c>
      <c r="AE1642" s="385" t="s">
        <v>2572</v>
      </c>
    </row>
    <row r="1643" spans="1:31" s="63" customFormat="1">
      <c r="A1643" s="2614" t="s">
        <v>2532</v>
      </c>
      <c r="B1643" s="2615"/>
      <c r="C1643" s="2615"/>
      <c r="D1643" s="2615"/>
      <c r="E1643" s="2615"/>
      <c r="F1643" s="2615"/>
      <c r="G1643" s="2615"/>
      <c r="H1643" s="2615"/>
      <c r="I1643" s="2615"/>
      <c r="J1643" s="2615"/>
      <c r="K1643" s="2615"/>
      <c r="L1643" s="2615"/>
      <c r="M1643" s="2615"/>
      <c r="N1643" s="2615"/>
      <c r="O1643" s="2615"/>
      <c r="P1643" s="2615"/>
      <c r="Q1643" s="2615"/>
      <c r="R1643" s="2615"/>
      <c r="S1643" s="2615"/>
      <c r="T1643" s="2615"/>
      <c r="U1643" s="2615"/>
      <c r="V1643" s="2615"/>
      <c r="W1643" s="2615"/>
      <c r="X1643" s="2615"/>
      <c r="Y1643" s="2615"/>
      <c r="Z1643" s="2615"/>
      <c r="AA1643" s="2615"/>
      <c r="AB1643" s="2616"/>
      <c r="AC1643" s="2169">
        <f>AC1642</f>
        <v>12.5</v>
      </c>
      <c r="AD1643" s="2169">
        <f>AD1642</f>
        <v>16.824869206057823</v>
      </c>
      <c r="AE1643" s="385"/>
    </row>
    <row r="1644" spans="1:31" s="63" customFormat="1">
      <c r="A1644" s="2614" t="s">
        <v>2533</v>
      </c>
      <c r="B1644" s="2615"/>
      <c r="C1644" s="2615"/>
      <c r="D1644" s="2615"/>
      <c r="E1644" s="2615"/>
      <c r="F1644" s="2615"/>
      <c r="G1644" s="2615"/>
      <c r="H1644" s="2615"/>
      <c r="I1644" s="2615"/>
      <c r="J1644" s="2615"/>
      <c r="K1644" s="2615"/>
      <c r="L1644" s="2615"/>
      <c r="M1644" s="2615"/>
      <c r="N1644" s="2615"/>
      <c r="O1644" s="2615"/>
      <c r="P1644" s="2615"/>
      <c r="Q1644" s="2615"/>
      <c r="R1644" s="2615"/>
      <c r="S1644" s="2615"/>
      <c r="T1644" s="2615"/>
      <c r="U1644" s="2615"/>
      <c r="V1644" s="2615"/>
      <c r="W1644" s="2615"/>
      <c r="X1644" s="2615"/>
      <c r="Y1644" s="2615"/>
      <c r="Z1644" s="2615"/>
      <c r="AA1644" s="2615"/>
      <c r="AB1644" s="2616"/>
      <c r="AC1644" s="2145" t="s">
        <v>2534</v>
      </c>
      <c r="AD1644" s="2145" t="s">
        <v>2534</v>
      </c>
      <c r="AE1644" s="385"/>
    </row>
    <row r="1645" spans="1:31" s="63" customFormat="1" ht="76.5">
      <c r="A1645" s="495">
        <v>9</v>
      </c>
      <c r="B1645" s="344" t="s">
        <v>2567</v>
      </c>
      <c r="C1645" s="1236" t="s">
        <v>161</v>
      </c>
      <c r="D1645" s="1236" t="s">
        <v>2558</v>
      </c>
      <c r="E1645" s="1236" t="s">
        <v>107</v>
      </c>
      <c r="F1645" s="1236" t="s">
        <v>66</v>
      </c>
      <c r="G1645" s="1236" t="s">
        <v>67</v>
      </c>
      <c r="H1645" s="383"/>
      <c r="I1645" s="2134" t="s">
        <v>2605</v>
      </c>
      <c r="J1645" s="344" t="s">
        <v>2606</v>
      </c>
      <c r="K1645" s="2170">
        <v>510</v>
      </c>
      <c r="L1645" s="2120">
        <f>L1646</f>
        <v>400000000</v>
      </c>
      <c r="M1645" s="633">
        <f>80+80</f>
        <v>160</v>
      </c>
      <c r="N1645" s="2125">
        <f>N1646+N1647</f>
        <v>156832800</v>
      </c>
      <c r="O1645" s="2170">
        <v>80</v>
      </c>
      <c r="P1645" s="2135">
        <f>P1646+P1647</f>
        <v>81697347.5</v>
      </c>
      <c r="Q1645" s="633">
        <v>20</v>
      </c>
      <c r="R1645" s="2125">
        <f>R1646+R1647</f>
        <v>8376500</v>
      </c>
      <c r="S1645" s="616"/>
      <c r="T1645" s="616"/>
      <c r="U1645" s="616"/>
      <c r="V1645" s="616"/>
      <c r="W1645" s="616"/>
      <c r="X1645" s="616"/>
      <c r="Y1645" s="633">
        <f t="shared" ref="Y1645:Z1647" si="467">Q1645</f>
        <v>20</v>
      </c>
      <c r="Z1645" s="1944">
        <f t="shared" si="467"/>
        <v>8376500</v>
      </c>
      <c r="AA1645" s="2129">
        <f>M1645+Q1645</f>
        <v>180</v>
      </c>
      <c r="AB1645" s="1944">
        <f>N1645+Z1645</f>
        <v>165209300</v>
      </c>
      <c r="AC1645" s="2126">
        <f t="shared" ref="AC1645:AC1647" si="468">AA1645/K1645*100</f>
        <v>35.294117647058826</v>
      </c>
      <c r="AD1645" s="389">
        <f>AB1645/L1645*100</f>
        <v>41.302325000000003</v>
      </c>
      <c r="AE1645" s="616"/>
    </row>
    <row r="1646" spans="1:31" s="63" customFormat="1" ht="51">
      <c r="A1646" s="497"/>
      <c r="B1646" s="383"/>
      <c r="C1646" s="1236" t="s">
        <v>161</v>
      </c>
      <c r="D1646" s="1236" t="s">
        <v>2558</v>
      </c>
      <c r="E1646" s="1236" t="s">
        <v>107</v>
      </c>
      <c r="F1646" s="1236" t="s">
        <v>66</v>
      </c>
      <c r="G1646" s="1236" t="s">
        <v>67</v>
      </c>
      <c r="H1646" s="1236" t="s">
        <v>202</v>
      </c>
      <c r="I1646" s="1936" t="s">
        <v>2607</v>
      </c>
      <c r="J1646" s="741" t="s">
        <v>2608</v>
      </c>
      <c r="K1646" s="2148">
        <v>193</v>
      </c>
      <c r="L1646" s="2144">
        <v>400000000</v>
      </c>
      <c r="M1646" s="2165">
        <v>29</v>
      </c>
      <c r="N1646" s="2047">
        <f>28529800+27814100</f>
        <v>56343900</v>
      </c>
      <c r="O1646" s="2148">
        <v>29</v>
      </c>
      <c r="P1646" s="1941">
        <v>58791992.25</v>
      </c>
      <c r="Q1646" s="2129">
        <v>5</v>
      </c>
      <c r="R1646" s="2047">
        <v>5686900</v>
      </c>
      <c r="S1646" s="385"/>
      <c r="T1646" s="385"/>
      <c r="U1646" s="385"/>
      <c r="V1646" s="385"/>
      <c r="W1646" s="385"/>
      <c r="X1646" s="385"/>
      <c r="Y1646" s="2129">
        <f t="shared" si="467"/>
        <v>5</v>
      </c>
      <c r="Z1646" s="1944">
        <f t="shared" si="467"/>
        <v>5686900</v>
      </c>
      <c r="AA1646" s="2129">
        <f>M1646+Q1646</f>
        <v>34</v>
      </c>
      <c r="AB1646" s="1944">
        <f>N1646+Z1646</f>
        <v>62030800</v>
      </c>
      <c r="AC1646" s="2126">
        <f t="shared" si="468"/>
        <v>17.616580310880828</v>
      </c>
      <c r="AD1646" s="389">
        <f>AB1646/L1646*100</f>
        <v>15.5077</v>
      </c>
      <c r="AE1646" s="385" t="s">
        <v>2572</v>
      </c>
    </row>
    <row r="1647" spans="1:31" s="63" customFormat="1" ht="51">
      <c r="A1647" s="497"/>
      <c r="B1647" s="383"/>
      <c r="C1647" s="1236" t="s">
        <v>161</v>
      </c>
      <c r="D1647" s="1236" t="s">
        <v>2558</v>
      </c>
      <c r="E1647" s="1236" t="s">
        <v>107</v>
      </c>
      <c r="F1647" s="1236" t="s">
        <v>66</v>
      </c>
      <c r="G1647" s="1236" t="s">
        <v>67</v>
      </c>
      <c r="H1647" s="1236" t="s">
        <v>417</v>
      </c>
      <c r="I1647" s="1936" t="s">
        <v>2609</v>
      </c>
      <c r="J1647" s="1990" t="s">
        <v>2610</v>
      </c>
      <c r="K1647" s="385">
        <v>33</v>
      </c>
      <c r="L1647" s="2155">
        <v>295000000</v>
      </c>
      <c r="M1647" s="2165">
        <v>22</v>
      </c>
      <c r="N1647" s="2047">
        <f>45539800+54949100</f>
        <v>100488900</v>
      </c>
      <c r="O1647" s="2148">
        <v>11</v>
      </c>
      <c r="P1647" s="1941">
        <v>22905355.25</v>
      </c>
      <c r="Q1647" s="2129">
        <v>11</v>
      </c>
      <c r="R1647" s="2047">
        <v>2689600</v>
      </c>
      <c r="S1647" s="385"/>
      <c r="T1647" s="385"/>
      <c r="U1647" s="385"/>
      <c r="V1647" s="385"/>
      <c r="W1647" s="385"/>
      <c r="X1647" s="385"/>
      <c r="Y1647" s="2129">
        <f t="shared" si="467"/>
        <v>11</v>
      </c>
      <c r="Z1647" s="1944">
        <f t="shared" si="467"/>
        <v>2689600</v>
      </c>
      <c r="AA1647" s="2129">
        <f>M1647+Q1647</f>
        <v>33</v>
      </c>
      <c r="AB1647" s="1944">
        <f>N1647+Z1647</f>
        <v>103178500</v>
      </c>
      <c r="AC1647" s="2126">
        <f t="shared" si="468"/>
        <v>100</v>
      </c>
      <c r="AD1647" s="389">
        <f>AB1647/L1647*100</f>
        <v>34.975762711864405</v>
      </c>
      <c r="AE1647" s="385" t="s">
        <v>2572</v>
      </c>
    </row>
    <row r="1648" spans="1:31" s="63" customFormat="1">
      <c r="A1648" s="2614" t="s">
        <v>2532</v>
      </c>
      <c r="B1648" s="2615"/>
      <c r="C1648" s="2615"/>
      <c r="D1648" s="2615"/>
      <c r="E1648" s="2615"/>
      <c r="F1648" s="2615"/>
      <c r="G1648" s="2615"/>
      <c r="H1648" s="2615"/>
      <c r="I1648" s="2615"/>
      <c r="J1648" s="2615"/>
      <c r="K1648" s="2615"/>
      <c r="L1648" s="2615"/>
      <c r="M1648" s="2615"/>
      <c r="N1648" s="2615"/>
      <c r="O1648" s="2615"/>
      <c r="P1648" s="2615"/>
      <c r="Q1648" s="2615"/>
      <c r="R1648" s="2615"/>
      <c r="S1648" s="2615"/>
      <c r="T1648" s="2615"/>
      <c r="U1648" s="2615"/>
      <c r="V1648" s="2615"/>
      <c r="W1648" s="2615"/>
      <c r="X1648" s="2615"/>
      <c r="Y1648" s="2615"/>
      <c r="Z1648" s="2615"/>
      <c r="AA1648" s="2615"/>
      <c r="AB1648" s="2616"/>
      <c r="AC1648" s="2171">
        <f>(AC1647+AC1646)/2</f>
        <v>58.808290155440417</v>
      </c>
      <c r="AD1648" s="2171">
        <f>(AD1647+AD1646)/2</f>
        <v>25.241731355932203</v>
      </c>
      <c r="AE1648" s="385"/>
    </row>
    <row r="1649" spans="1:31" s="63" customFormat="1">
      <c r="A1649" s="2614" t="s">
        <v>2533</v>
      </c>
      <c r="B1649" s="2615"/>
      <c r="C1649" s="2615"/>
      <c r="D1649" s="2615"/>
      <c r="E1649" s="2615"/>
      <c r="F1649" s="2615"/>
      <c r="G1649" s="2615"/>
      <c r="H1649" s="2615"/>
      <c r="I1649" s="2615"/>
      <c r="J1649" s="2615"/>
      <c r="K1649" s="2615"/>
      <c r="L1649" s="2615"/>
      <c r="M1649" s="2615"/>
      <c r="N1649" s="2615"/>
      <c r="O1649" s="2615"/>
      <c r="P1649" s="2615"/>
      <c r="Q1649" s="2615"/>
      <c r="R1649" s="2615"/>
      <c r="S1649" s="2615"/>
      <c r="T1649" s="2615"/>
      <c r="U1649" s="2615"/>
      <c r="V1649" s="2615"/>
      <c r="W1649" s="2615"/>
      <c r="X1649" s="2615"/>
      <c r="Y1649" s="2615"/>
      <c r="Z1649" s="2615"/>
      <c r="AA1649" s="2615"/>
      <c r="AB1649" s="2616"/>
      <c r="AC1649" s="2145" t="s">
        <v>2566</v>
      </c>
      <c r="AD1649" s="697" t="s">
        <v>2534</v>
      </c>
      <c r="AE1649" s="385"/>
    </row>
    <row r="1650" spans="1:31" s="63" customFormat="1" ht="114.75">
      <c r="A1650" s="1907">
        <v>10</v>
      </c>
      <c r="B1650" s="344" t="s">
        <v>2611</v>
      </c>
      <c r="C1650" s="2172" t="s">
        <v>197</v>
      </c>
      <c r="D1650" s="2172" t="s">
        <v>2558</v>
      </c>
      <c r="E1650" s="2172" t="s">
        <v>107</v>
      </c>
      <c r="F1650" s="2172" t="s">
        <v>66</v>
      </c>
      <c r="G1650" s="2172" t="s">
        <v>166</v>
      </c>
      <c r="H1650" s="57"/>
      <c r="I1650" s="365" t="s">
        <v>2612</v>
      </c>
      <c r="J1650" s="2173" t="s">
        <v>2613</v>
      </c>
      <c r="K1650" s="2174">
        <v>300</v>
      </c>
      <c r="L1650" s="2175">
        <f>L1651+L1652</f>
        <v>308000000</v>
      </c>
      <c r="M1650" s="2176">
        <v>200</v>
      </c>
      <c r="N1650" s="2177">
        <f>N1651+N1652</f>
        <v>144161700</v>
      </c>
      <c r="O1650" s="2178">
        <v>100</v>
      </c>
      <c r="P1650" s="2177">
        <f>P1651+P1652</f>
        <v>109422350</v>
      </c>
      <c r="Q1650" s="2176">
        <v>24</v>
      </c>
      <c r="R1650" s="2179">
        <f>R1651+R1652</f>
        <v>24670000</v>
      </c>
      <c r="S1650" s="630"/>
      <c r="T1650" s="630"/>
      <c r="U1650" s="630"/>
      <c r="V1650" s="630"/>
      <c r="W1650" s="630"/>
      <c r="X1650" s="630"/>
      <c r="Y1650" s="2180">
        <f t="shared" ref="Y1650:Z1652" si="469">Q1650</f>
        <v>24</v>
      </c>
      <c r="Z1650" s="2181">
        <f t="shared" si="469"/>
        <v>24670000</v>
      </c>
      <c r="AA1650" s="2129">
        <f>M1650+Q1650</f>
        <v>224</v>
      </c>
      <c r="AB1650" s="2181">
        <f>N1650+Z1650</f>
        <v>168831700</v>
      </c>
      <c r="AC1650" s="2126">
        <f t="shared" ref="AC1650:AC1652" si="470">AA1650/K1650*100</f>
        <v>74.666666666666671</v>
      </c>
      <c r="AD1650" s="389">
        <f>AB1650/L1650*100</f>
        <v>54.815487012987006</v>
      </c>
      <c r="AE1650" s="630"/>
    </row>
    <row r="1651" spans="1:31" s="63" customFormat="1" ht="51">
      <c r="A1651" s="497"/>
      <c r="B1651" s="383"/>
      <c r="C1651" s="1236" t="s">
        <v>197</v>
      </c>
      <c r="D1651" s="1236" t="s">
        <v>2558</v>
      </c>
      <c r="E1651" s="1236" t="s">
        <v>107</v>
      </c>
      <c r="F1651" s="1236" t="s">
        <v>66</v>
      </c>
      <c r="G1651" s="1236" t="s">
        <v>166</v>
      </c>
      <c r="H1651" s="1236" t="s">
        <v>360</v>
      </c>
      <c r="I1651" s="741" t="s">
        <v>2614</v>
      </c>
      <c r="J1651" s="1485" t="s">
        <v>2615</v>
      </c>
      <c r="K1651" s="2182">
        <f>95+95</f>
        <v>190</v>
      </c>
      <c r="L1651" s="2155">
        <v>258000000</v>
      </c>
      <c r="M1651" s="388">
        <v>95</v>
      </c>
      <c r="N1651" s="2047">
        <f>64726700+79435000</f>
        <v>144161700</v>
      </c>
      <c r="O1651" s="2183">
        <v>95</v>
      </c>
      <c r="P1651" s="1941">
        <v>60143100</v>
      </c>
      <c r="Q1651" s="2129">
        <v>20</v>
      </c>
      <c r="R1651" s="2047">
        <v>8553500</v>
      </c>
      <c r="S1651" s="385"/>
      <c r="T1651" s="385"/>
      <c r="U1651" s="385"/>
      <c r="V1651" s="385"/>
      <c r="W1651" s="385"/>
      <c r="X1651" s="385"/>
      <c r="Y1651" s="2129">
        <f t="shared" si="469"/>
        <v>20</v>
      </c>
      <c r="Z1651" s="1944">
        <f t="shared" si="469"/>
        <v>8553500</v>
      </c>
      <c r="AA1651" s="2129">
        <f>M1651+Q1651</f>
        <v>115</v>
      </c>
      <c r="AB1651" s="1944">
        <f>N1651+Z1651</f>
        <v>152715200</v>
      </c>
      <c r="AC1651" s="2126">
        <f t="shared" si="470"/>
        <v>60.526315789473685</v>
      </c>
      <c r="AD1651" s="389">
        <f>AB1651/L1651*100</f>
        <v>59.191937984496121</v>
      </c>
      <c r="AE1651" s="385" t="s">
        <v>2616</v>
      </c>
    </row>
    <row r="1652" spans="1:31" s="63" customFormat="1" ht="38.25">
      <c r="A1652" s="497"/>
      <c r="B1652" s="383"/>
      <c r="C1652" s="1236" t="s">
        <v>197</v>
      </c>
      <c r="D1652" s="1236" t="s">
        <v>2558</v>
      </c>
      <c r="E1652" s="1236" t="s">
        <v>107</v>
      </c>
      <c r="F1652" s="1236" t="s">
        <v>66</v>
      </c>
      <c r="G1652" s="1236" t="s">
        <v>166</v>
      </c>
      <c r="H1652" s="1236" t="s">
        <v>459</v>
      </c>
      <c r="I1652" s="741" t="s">
        <v>2617</v>
      </c>
      <c r="J1652" s="1485" t="s">
        <v>2618</v>
      </c>
      <c r="K1652" s="2184">
        <v>60</v>
      </c>
      <c r="L1652" s="2155">
        <v>50000000</v>
      </c>
      <c r="M1652" s="2129"/>
      <c r="N1652" s="2047"/>
      <c r="O1652" s="2185">
        <v>60</v>
      </c>
      <c r="P1652" s="1941">
        <v>49279250</v>
      </c>
      <c r="Q1652" s="2129">
        <v>15</v>
      </c>
      <c r="R1652" s="2047">
        <v>16116500</v>
      </c>
      <c r="S1652" s="385"/>
      <c r="T1652" s="385"/>
      <c r="U1652" s="385"/>
      <c r="V1652" s="385"/>
      <c r="W1652" s="385"/>
      <c r="X1652" s="385"/>
      <c r="Y1652" s="2129">
        <f t="shared" si="469"/>
        <v>15</v>
      </c>
      <c r="Z1652" s="1944">
        <f t="shared" si="469"/>
        <v>16116500</v>
      </c>
      <c r="AA1652" s="2129">
        <f>M1652+Q1652</f>
        <v>15</v>
      </c>
      <c r="AB1652" s="1944">
        <f>N1652+Z1652</f>
        <v>16116500</v>
      </c>
      <c r="AC1652" s="2126">
        <f t="shared" si="470"/>
        <v>25</v>
      </c>
      <c r="AD1652" s="389">
        <f>AB1652/L1652*100</f>
        <v>32.233000000000004</v>
      </c>
      <c r="AE1652" s="385" t="s">
        <v>2616</v>
      </c>
    </row>
    <row r="1653" spans="1:31" s="63" customFormat="1">
      <c r="A1653" s="2614" t="s">
        <v>2532</v>
      </c>
      <c r="B1653" s="2615"/>
      <c r="C1653" s="2615"/>
      <c r="D1653" s="2615"/>
      <c r="E1653" s="2615"/>
      <c r="F1653" s="2615"/>
      <c r="G1653" s="2615"/>
      <c r="H1653" s="2615"/>
      <c r="I1653" s="2615"/>
      <c r="J1653" s="2615"/>
      <c r="K1653" s="2615"/>
      <c r="L1653" s="2615"/>
      <c r="M1653" s="2615"/>
      <c r="N1653" s="2615"/>
      <c r="O1653" s="2615"/>
      <c r="P1653" s="2615"/>
      <c r="Q1653" s="2615"/>
      <c r="R1653" s="2615"/>
      <c r="S1653" s="2615"/>
      <c r="T1653" s="2615"/>
      <c r="U1653" s="2615"/>
      <c r="V1653" s="2615"/>
      <c r="W1653" s="2615"/>
      <c r="X1653" s="2615"/>
      <c r="Y1653" s="2615"/>
      <c r="Z1653" s="2615"/>
      <c r="AA1653" s="2615"/>
      <c r="AB1653" s="2616"/>
      <c r="AC1653" s="2169">
        <f>SUM(AC1651:AC1652)/2</f>
        <v>42.763157894736842</v>
      </c>
      <c r="AD1653" s="2169">
        <f>SUM(AD1651:AD1652)/2</f>
        <v>45.712468992248063</v>
      </c>
      <c r="AE1653" s="385"/>
    </row>
    <row r="1654" spans="1:31" s="63" customFormat="1">
      <c r="A1654" s="2614" t="s">
        <v>2533</v>
      </c>
      <c r="B1654" s="2615"/>
      <c r="C1654" s="2615"/>
      <c r="D1654" s="2615"/>
      <c r="E1654" s="2615"/>
      <c r="F1654" s="2615"/>
      <c r="G1654" s="2615"/>
      <c r="H1654" s="2615"/>
      <c r="I1654" s="2615"/>
      <c r="J1654" s="2615"/>
      <c r="K1654" s="2615"/>
      <c r="L1654" s="2615"/>
      <c r="M1654" s="2615"/>
      <c r="N1654" s="2615"/>
      <c r="O1654" s="2615"/>
      <c r="P1654" s="2615"/>
      <c r="Q1654" s="2615"/>
      <c r="R1654" s="2615"/>
      <c r="S1654" s="2615"/>
      <c r="T1654" s="2615"/>
      <c r="U1654" s="2615"/>
      <c r="V1654" s="2615"/>
      <c r="W1654" s="2615"/>
      <c r="X1654" s="2615"/>
      <c r="Y1654" s="2615"/>
      <c r="Z1654" s="2615"/>
      <c r="AA1654" s="2615"/>
      <c r="AB1654" s="2616"/>
      <c r="AC1654" s="2145" t="s">
        <v>2534</v>
      </c>
      <c r="AD1654" s="697" t="s">
        <v>2534</v>
      </c>
      <c r="AE1654" s="385"/>
    </row>
    <row r="1655" spans="1:31" s="63" customFormat="1" ht="63.75">
      <c r="A1655" s="495">
        <v>11</v>
      </c>
      <c r="B1655" s="344" t="s">
        <v>2619</v>
      </c>
      <c r="C1655" s="1236" t="s">
        <v>197</v>
      </c>
      <c r="D1655" s="1236" t="s">
        <v>2558</v>
      </c>
      <c r="E1655" s="1236" t="s">
        <v>107</v>
      </c>
      <c r="F1655" s="1236" t="s">
        <v>66</v>
      </c>
      <c r="G1655" s="1236" t="s">
        <v>67</v>
      </c>
      <c r="H1655" s="383"/>
      <c r="I1655" s="2134" t="s">
        <v>2620</v>
      </c>
      <c r="J1655" s="1471" t="s">
        <v>2621</v>
      </c>
      <c r="K1655" s="2131">
        <v>270</v>
      </c>
      <c r="L1655" s="2120">
        <f>SUM(L1656:L1663)</f>
        <v>3005800000</v>
      </c>
      <c r="M1655" s="2143">
        <f>90+90</f>
        <v>180</v>
      </c>
      <c r="N1655" s="2120">
        <f>SUM(N1656:N1663)</f>
        <v>1145181766</v>
      </c>
      <c r="O1655" s="2131">
        <v>90</v>
      </c>
      <c r="P1655" s="2123">
        <f>SUM(P1656:P1663)</f>
        <v>1164412768.5</v>
      </c>
      <c r="Q1655" s="633">
        <v>25</v>
      </c>
      <c r="R1655" s="2125">
        <f>SUM(R1656:R1663)</f>
        <v>146041500</v>
      </c>
      <c r="S1655" s="616"/>
      <c r="T1655" s="616"/>
      <c r="U1655" s="616"/>
      <c r="V1655" s="616"/>
      <c r="W1655" s="616"/>
      <c r="X1655" s="616"/>
      <c r="Y1655" s="2129">
        <f t="shared" ref="Y1655:Z1663" si="471">Q1655</f>
        <v>25</v>
      </c>
      <c r="Z1655" s="1944">
        <f t="shared" si="471"/>
        <v>146041500</v>
      </c>
      <c r="AA1655" s="2129">
        <f t="shared" ref="AA1655:AA1663" si="472">M1655+Q1655</f>
        <v>205</v>
      </c>
      <c r="AB1655" s="1944">
        <f t="shared" ref="AB1655:AB1663" si="473">N1655+Z1655</f>
        <v>1291223266</v>
      </c>
      <c r="AC1655" s="2126">
        <f t="shared" ref="AC1655:AD1663" si="474">AA1655/K1655*100</f>
        <v>75.925925925925924</v>
      </c>
      <c r="AD1655" s="389">
        <f t="shared" si="474"/>
        <v>42.957723933728126</v>
      </c>
      <c r="AE1655" s="616"/>
    </row>
    <row r="1656" spans="1:31" ht="25.5">
      <c r="A1656" s="497"/>
      <c r="B1656" s="383"/>
      <c r="C1656" s="1236" t="s">
        <v>197</v>
      </c>
      <c r="D1656" s="1236" t="s">
        <v>2558</v>
      </c>
      <c r="E1656" s="1236" t="s">
        <v>107</v>
      </c>
      <c r="F1656" s="1236" t="s">
        <v>66</v>
      </c>
      <c r="G1656" s="1236" t="s">
        <v>67</v>
      </c>
      <c r="H1656" s="1236" t="s">
        <v>376</v>
      </c>
      <c r="I1656" s="1936" t="s">
        <v>2622</v>
      </c>
      <c r="J1656" s="1485" t="s">
        <v>2623</v>
      </c>
      <c r="K1656" s="1938">
        <v>115</v>
      </c>
      <c r="L1656" s="1947">
        <v>801800000</v>
      </c>
      <c r="M1656" s="1939">
        <v>55</v>
      </c>
      <c r="N1656" s="1940">
        <f>383367800</f>
        <v>383367800</v>
      </c>
      <c r="O1656" s="1992">
        <v>60</v>
      </c>
      <c r="P1656" s="1971">
        <v>389895050.75</v>
      </c>
      <c r="Q1656" s="1959"/>
      <c r="R1656" s="1940">
        <v>900000</v>
      </c>
      <c r="S1656" s="64"/>
      <c r="T1656" s="64"/>
      <c r="U1656" s="64"/>
      <c r="V1656" s="64"/>
      <c r="W1656" s="64"/>
      <c r="X1656" s="64"/>
      <c r="Y1656" s="1959">
        <f t="shared" si="471"/>
        <v>0</v>
      </c>
      <c r="Z1656" s="1942">
        <f t="shared" si="471"/>
        <v>900000</v>
      </c>
      <c r="AA1656" s="1939">
        <f t="shared" si="472"/>
        <v>55</v>
      </c>
      <c r="AB1656" s="1944">
        <f t="shared" si="473"/>
        <v>384267800</v>
      </c>
      <c r="AC1656" s="1945">
        <f t="shared" si="474"/>
        <v>47.826086956521742</v>
      </c>
      <c r="AD1656" s="1946">
        <f t="shared" si="474"/>
        <v>47.925642304814168</v>
      </c>
      <c r="AE1656" s="64" t="s">
        <v>2562</v>
      </c>
    </row>
    <row r="1657" spans="1:31" ht="25.5">
      <c r="A1657" s="497"/>
      <c r="B1657" s="383"/>
      <c r="C1657" s="1236" t="s">
        <v>197</v>
      </c>
      <c r="D1657" s="1236" t="s">
        <v>2558</v>
      </c>
      <c r="E1657" s="1236" t="s">
        <v>107</v>
      </c>
      <c r="F1657" s="1236" t="s">
        <v>66</v>
      </c>
      <c r="G1657" s="1236" t="s">
        <v>67</v>
      </c>
      <c r="H1657" s="1236" t="s">
        <v>67</v>
      </c>
      <c r="I1657" s="1936" t="s">
        <v>2624</v>
      </c>
      <c r="J1657" s="1485" t="s">
        <v>2625</v>
      </c>
      <c r="K1657" s="1949">
        <v>10</v>
      </c>
      <c r="L1657" s="1947">
        <v>500000000</v>
      </c>
      <c r="M1657" s="1939"/>
      <c r="N1657" s="1993"/>
      <c r="O1657" s="1992">
        <v>10</v>
      </c>
      <c r="P1657" s="1940">
        <v>155808794</v>
      </c>
      <c r="Q1657" s="1959"/>
      <c r="R1657" s="1940">
        <v>90753800</v>
      </c>
      <c r="S1657" s="64"/>
      <c r="T1657" s="64"/>
      <c r="U1657" s="64"/>
      <c r="V1657" s="64"/>
      <c r="W1657" s="64"/>
      <c r="X1657" s="64"/>
      <c r="Y1657" s="1959">
        <f t="shared" si="471"/>
        <v>0</v>
      </c>
      <c r="Z1657" s="1942">
        <f t="shared" si="471"/>
        <v>90753800</v>
      </c>
      <c r="AA1657" s="1939">
        <f t="shared" si="472"/>
        <v>0</v>
      </c>
      <c r="AB1657" s="1944">
        <f t="shared" si="473"/>
        <v>90753800</v>
      </c>
      <c r="AC1657" s="1945">
        <f t="shared" si="474"/>
        <v>0</v>
      </c>
      <c r="AD1657" s="1946">
        <f t="shared" si="474"/>
        <v>18.150759999999998</v>
      </c>
      <c r="AE1657" s="64" t="s">
        <v>2562</v>
      </c>
    </row>
    <row r="1658" spans="1:31" ht="25.5">
      <c r="A1658" s="497"/>
      <c r="B1658" s="383"/>
      <c r="C1658" s="1236" t="s">
        <v>197</v>
      </c>
      <c r="D1658" s="1236" t="s">
        <v>2558</v>
      </c>
      <c r="E1658" s="1236" t="s">
        <v>107</v>
      </c>
      <c r="F1658" s="1236" t="s">
        <v>66</v>
      </c>
      <c r="G1658" s="1236" t="s">
        <v>67</v>
      </c>
      <c r="H1658" s="1236" t="s">
        <v>163</v>
      </c>
      <c r="I1658" s="1936" t="s">
        <v>2626</v>
      </c>
      <c r="J1658" s="1485" t="s">
        <v>2627</v>
      </c>
      <c r="K1658" s="1994">
        <v>310</v>
      </c>
      <c r="L1658" s="1947">
        <v>453000000</v>
      </c>
      <c r="M1658" s="1939">
        <f>100+105</f>
        <v>205</v>
      </c>
      <c r="N1658" s="1969">
        <f>143437050+121164099</f>
        <v>264601149</v>
      </c>
      <c r="O1658" s="1992">
        <v>105</v>
      </c>
      <c r="P1658" s="1940">
        <v>168077545.25</v>
      </c>
      <c r="Q1658" s="1959"/>
      <c r="R1658" s="1940"/>
      <c r="S1658" s="64"/>
      <c r="T1658" s="64"/>
      <c r="U1658" s="64"/>
      <c r="V1658" s="64"/>
      <c r="W1658" s="64"/>
      <c r="X1658" s="64"/>
      <c r="Y1658" s="1959">
        <f t="shared" si="471"/>
        <v>0</v>
      </c>
      <c r="Z1658" s="1942">
        <f t="shared" si="471"/>
        <v>0</v>
      </c>
      <c r="AA1658" s="1939">
        <f t="shared" si="472"/>
        <v>205</v>
      </c>
      <c r="AB1658" s="1944">
        <f t="shared" si="473"/>
        <v>264601149</v>
      </c>
      <c r="AC1658" s="1945">
        <f t="shared" si="474"/>
        <v>66.129032258064512</v>
      </c>
      <c r="AD1658" s="1946">
        <f t="shared" si="474"/>
        <v>58.410849668874178</v>
      </c>
      <c r="AE1658" s="64" t="s">
        <v>2562</v>
      </c>
    </row>
    <row r="1659" spans="1:31" ht="25.5">
      <c r="A1659" s="497"/>
      <c r="B1659" s="383"/>
      <c r="C1659" s="1236" t="s">
        <v>197</v>
      </c>
      <c r="D1659" s="1236" t="s">
        <v>2558</v>
      </c>
      <c r="E1659" s="1236" t="s">
        <v>107</v>
      </c>
      <c r="F1659" s="1236" t="s">
        <v>66</v>
      </c>
      <c r="G1659" s="1236" t="s">
        <v>67</v>
      </c>
      <c r="H1659" s="1236" t="s">
        <v>360</v>
      </c>
      <c r="I1659" s="741" t="s">
        <v>2628</v>
      </c>
      <c r="J1659" s="1485" t="s">
        <v>2623</v>
      </c>
      <c r="K1659" s="1938">
        <v>30</v>
      </c>
      <c r="L1659" s="1947">
        <v>210000000</v>
      </c>
      <c r="M1659" s="1939">
        <v>15</v>
      </c>
      <c r="N1659" s="1940">
        <v>95122000</v>
      </c>
      <c r="O1659" s="1952">
        <v>15</v>
      </c>
      <c r="P1659" s="1971">
        <v>89779047.25</v>
      </c>
      <c r="Q1659" s="1939">
        <v>6</v>
      </c>
      <c r="R1659" s="1940">
        <v>4946000</v>
      </c>
      <c r="S1659" s="64"/>
      <c r="T1659" s="64"/>
      <c r="U1659" s="64"/>
      <c r="V1659" s="64"/>
      <c r="W1659" s="64"/>
      <c r="X1659" s="64"/>
      <c r="Y1659" s="1939">
        <f t="shared" si="471"/>
        <v>6</v>
      </c>
      <c r="Z1659" s="1942">
        <f t="shared" si="471"/>
        <v>4946000</v>
      </c>
      <c r="AA1659" s="1939">
        <f t="shared" si="472"/>
        <v>21</v>
      </c>
      <c r="AB1659" s="1944">
        <f t="shared" si="473"/>
        <v>100068000</v>
      </c>
      <c r="AC1659" s="1945">
        <f t="shared" si="474"/>
        <v>70</v>
      </c>
      <c r="AD1659" s="1946">
        <f t="shared" si="474"/>
        <v>47.651428571428575</v>
      </c>
      <c r="AE1659" s="64" t="s">
        <v>2562</v>
      </c>
    </row>
    <row r="1660" spans="1:31" ht="38.25">
      <c r="A1660" s="497"/>
      <c r="B1660" s="383"/>
      <c r="C1660" s="1236" t="s">
        <v>197</v>
      </c>
      <c r="D1660" s="1236" t="s">
        <v>2558</v>
      </c>
      <c r="E1660" s="1236" t="s">
        <v>107</v>
      </c>
      <c r="F1660" s="1236" t="s">
        <v>66</v>
      </c>
      <c r="G1660" s="1236" t="s">
        <v>67</v>
      </c>
      <c r="H1660" s="1236" t="s">
        <v>165</v>
      </c>
      <c r="I1660" s="741" t="s">
        <v>2629</v>
      </c>
      <c r="J1660" s="1485" t="s">
        <v>2630</v>
      </c>
      <c r="K1660" s="1938">
        <f>37+37</f>
        <v>74</v>
      </c>
      <c r="L1660" s="1947">
        <v>120000000</v>
      </c>
      <c r="M1660" s="1939">
        <v>37</v>
      </c>
      <c r="N1660" s="1940">
        <v>23865450</v>
      </c>
      <c r="O1660" s="1938">
        <v>37</v>
      </c>
      <c r="P1660" s="1971">
        <v>79361272</v>
      </c>
      <c r="Q1660" s="1959"/>
      <c r="R1660" s="1940"/>
      <c r="S1660" s="64"/>
      <c r="T1660" s="64"/>
      <c r="U1660" s="64"/>
      <c r="V1660" s="64"/>
      <c r="W1660" s="64"/>
      <c r="X1660" s="64"/>
      <c r="Y1660" s="1959">
        <f t="shared" si="471"/>
        <v>0</v>
      </c>
      <c r="Z1660" s="1942">
        <f t="shared" si="471"/>
        <v>0</v>
      </c>
      <c r="AA1660" s="1939">
        <f t="shared" si="472"/>
        <v>37</v>
      </c>
      <c r="AB1660" s="1944">
        <f t="shared" si="473"/>
        <v>23865450</v>
      </c>
      <c r="AC1660" s="1945">
        <f t="shared" si="474"/>
        <v>50</v>
      </c>
      <c r="AD1660" s="1946">
        <f t="shared" si="474"/>
        <v>19.887875000000001</v>
      </c>
      <c r="AE1660" s="64" t="s">
        <v>2562</v>
      </c>
    </row>
    <row r="1661" spans="1:31" ht="38.25">
      <c r="A1661" s="497"/>
      <c r="B1661" s="383"/>
      <c r="C1661" s="1236" t="s">
        <v>197</v>
      </c>
      <c r="D1661" s="1236" t="s">
        <v>2558</v>
      </c>
      <c r="E1661" s="1236" t="s">
        <v>107</v>
      </c>
      <c r="F1661" s="1236" t="s">
        <v>66</v>
      </c>
      <c r="G1661" s="1236" t="s">
        <v>67</v>
      </c>
      <c r="H1661" s="1236" t="s">
        <v>515</v>
      </c>
      <c r="I1661" s="1936" t="s">
        <v>2631</v>
      </c>
      <c r="J1661" s="1485" t="s">
        <v>2632</v>
      </c>
      <c r="K1661" s="1938">
        <f>12*3</f>
        <v>36</v>
      </c>
      <c r="L1661" s="1947">
        <v>675000000</v>
      </c>
      <c r="M1661" s="1939">
        <v>24</v>
      </c>
      <c r="N1661" s="1940">
        <f>170097657+162704410</f>
        <v>332802067</v>
      </c>
      <c r="O1661" s="1995">
        <v>12</v>
      </c>
      <c r="P1661" s="1971">
        <v>117091246.75</v>
      </c>
      <c r="Q1661" s="1959"/>
      <c r="R1661" s="1940">
        <v>18490700</v>
      </c>
      <c r="S1661" s="64"/>
      <c r="T1661" s="64"/>
      <c r="U1661" s="64"/>
      <c r="V1661" s="64"/>
      <c r="W1661" s="64"/>
      <c r="X1661" s="64"/>
      <c r="Y1661" s="1959">
        <f t="shared" si="471"/>
        <v>0</v>
      </c>
      <c r="Z1661" s="1942">
        <f t="shared" si="471"/>
        <v>18490700</v>
      </c>
      <c r="AA1661" s="1939">
        <f t="shared" si="472"/>
        <v>24</v>
      </c>
      <c r="AB1661" s="1944">
        <f t="shared" si="473"/>
        <v>351292767</v>
      </c>
      <c r="AC1661" s="1945">
        <f t="shared" si="474"/>
        <v>66.666666666666657</v>
      </c>
      <c r="AD1661" s="1946">
        <f t="shared" si="474"/>
        <v>52.043372888888882</v>
      </c>
      <c r="AE1661" s="64" t="s">
        <v>2562</v>
      </c>
    </row>
    <row r="1662" spans="1:31" ht="25.5">
      <c r="A1662" s="497"/>
      <c r="B1662" s="383"/>
      <c r="C1662" s="1236" t="s">
        <v>197</v>
      </c>
      <c r="D1662" s="1236" t="s">
        <v>2558</v>
      </c>
      <c r="E1662" s="1236" t="s">
        <v>107</v>
      </c>
      <c r="F1662" s="1236" t="s">
        <v>66</v>
      </c>
      <c r="G1662" s="1236" t="s">
        <v>67</v>
      </c>
      <c r="H1662" s="1236" t="s">
        <v>459</v>
      </c>
      <c r="I1662" s="1936" t="s">
        <v>2633</v>
      </c>
      <c r="J1662" s="1485" t="s">
        <v>2634</v>
      </c>
      <c r="K1662" s="1996">
        <f>150*2</f>
        <v>300</v>
      </c>
      <c r="L1662" s="1947">
        <v>116000000</v>
      </c>
      <c r="M1662" s="1939">
        <v>150</v>
      </c>
      <c r="N1662" s="1940">
        <f>19725850+25697450</f>
        <v>45423300</v>
      </c>
      <c r="O1662" s="1952">
        <v>150</v>
      </c>
      <c r="P1662" s="1971">
        <v>42299812.5</v>
      </c>
      <c r="Q1662" s="1939">
        <v>50</v>
      </c>
      <c r="R1662" s="1940">
        <v>20811000</v>
      </c>
      <c r="S1662" s="64"/>
      <c r="T1662" s="64"/>
      <c r="U1662" s="64"/>
      <c r="V1662" s="64"/>
      <c r="W1662" s="64"/>
      <c r="X1662" s="64"/>
      <c r="Y1662" s="1939">
        <f t="shared" si="471"/>
        <v>50</v>
      </c>
      <c r="Z1662" s="1942">
        <f t="shared" si="471"/>
        <v>20811000</v>
      </c>
      <c r="AA1662" s="1939">
        <f t="shared" si="472"/>
        <v>200</v>
      </c>
      <c r="AB1662" s="1944">
        <f t="shared" si="473"/>
        <v>66234300</v>
      </c>
      <c r="AC1662" s="1945">
        <f t="shared" si="474"/>
        <v>66.666666666666657</v>
      </c>
      <c r="AD1662" s="1946">
        <f t="shared" si="474"/>
        <v>57.098534482758623</v>
      </c>
      <c r="AE1662" s="64" t="s">
        <v>2562</v>
      </c>
    </row>
    <row r="1663" spans="1:31" ht="51">
      <c r="A1663" s="497"/>
      <c r="B1663" s="383"/>
      <c r="C1663" s="1236" t="s">
        <v>197</v>
      </c>
      <c r="D1663" s="1236" t="s">
        <v>2558</v>
      </c>
      <c r="E1663" s="1236" t="s">
        <v>107</v>
      </c>
      <c r="F1663" s="1236" t="s">
        <v>66</v>
      </c>
      <c r="G1663" s="1236" t="s">
        <v>67</v>
      </c>
      <c r="H1663" s="1236" t="s">
        <v>178</v>
      </c>
      <c r="I1663" s="1936" t="s">
        <v>2635</v>
      </c>
      <c r="J1663" s="1485" t="s">
        <v>2636</v>
      </c>
      <c r="K1663" s="1938">
        <v>15</v>
      </c>
      <c r="L1663" s="1947">
        <v>130000000</v>
      </c>
      <c r="M1663" s="1939"/>
      <c r="N1663" s="64"/>
      <c r="O1663" s="1938">
        <v>15</v>
      </c>
      <c r="P1663" s="1971">
        <v>122100000</v>
      </c>
      <c r="Q1663" s="1959"/>
      <c r="R1663" s="1940">
        <v>10140000</v>
      </c>
      <c r="S1663" s="64"/>
      <c r="T1663" s="64"/>
      <c r="U1663" s="64"/>
      <c r="V1663" s="64"/>
      <c r="W1663" s="64"/>
      <c r="X1663" s="64"/>
      <c r="Y1663" s="1959">
        <f t="shared" si="471"/>
        <v>0</v>
      </c>
      <c r="Z1663" s="1942">
        <f t="shared" si="471"/>
        <v>10140000</v>
      </c>
      <c r="AA1663" s="1939">
        <f t="shared" si="472"/>
        <v>0</v>
      </c>
      <c r="AB1663" s="1944">
        <f t="shared" si="473"/>
        <v>10140000</v>
      </c>
      <c r="AC1663" s="1945">
        <f t="shared" si="474"/>
        <v>0</v>
      </c>
      <c r="AD1663" s="1946">
        <f t="shared" si="474"/>
        <v>7.8</v>
      </c>
      <c r="AE1663" s="64" t="s">
        <v>2562</v>
      </c>
    </row>
    <row r="1664" spans="1:31">
      <c r="A1664" s="2601" t="s">
        <v>2532</v>
      </c>
      <c r="B1664" s="2602"/>
      <c r="C1664" s="2602"/>
      <c r="D1664" s="2602"/>
      <c r="E1664" s="2602"/>
      <c r="F1664" s="2602"/>
      <c r="G1664" s="2602"/>
      <c r="H1664" s="2602"/>
      <c r="I1664" s="2602"/>
      <c r="J1664" s="2602"/>
      <c r="K1664" s="2602"/>
      <c r="L1664" s="2602"/>
      <c r="M1664" s="2602"/>
      <c r="N1664" s="2602"/>
      <c r="O1664" s="2602"/>
      <c r="P1664" s="2602"/>
      <c r="Q1664" s="2602"/>
      <c r="R1664" s="2602"/>
      <c r="S1664" s="2602"/>
      <c r="T1664" s="2602"/>
      <c r="U1664" s="2602"/>
      <c r="V1664" s="2602"/>
      <c r="W1664" s="2602"/>
      <c r="X1664" s="2602"/>
      <c r="Y1664" s="2602"/>
      <c r="Z1664" s="2602"/>
      <c r="AA1664" s="2602"/>
      <c r="AB1664" s="2603"/>
      <c r="AC1664" s="2031">
        <f>SUM(AC1656:AC1663)/8</f>
        <v>45.91105656848994</v>
      </c>
      <c r="AD1664" s="2031">
        <f>SUM(AD1656:AD1663)/8</f>
        <v>38.621057864595556</v>
      </c>
      <c r="AE1664" s="64"/>
    </row>
    <row r="1665" spans="1:31">
      <c r="A1665" s="2601" t="s">
        <v>2533</v>
      </c>
      <c r="B1665" s="2602"/>
      <c r="C1665" s="2602"/>
      <c r="D1665" s="2602"/>
      <c r="E1665" s="2602"/>
      <c r="F1665" s="2602"/>
      <c r="G1665" s="2602"/>
      <c r="H1665" s="2602"/>
      <c r="I1665" s="2602"/>
      <c r="J1665" s="2602"/>
      <c r="K1665" s="2602"/>
      <c r="L1665" s="2602"/>
      <c r="M1665" s="2602"/>
      <c r="N1665" s="2602"/>
      <c r="O1665" s="2602"/>
      <c r="P1665" s="2602"/>
      <c r="Q1665" s="2602"/>
      <c r="R1665" s="2602"/>
      <c r="S1665" s="2602"/>
      <c r="T1665" s="2602"/>
      <c r="U1665" s="2602"/>
      <c r="V1665" s="2602"/>
      <c r="W1665" s="2602"/>
      <c r="X1665" s="2602"/>
      <c r="Y1665" s="2602"/>
      <c r="Z1665" s="2602"/>
      <c r="AA1665" s="2602"/>
      <c r="AB1665" s="2603"/>
      <c r="AC1665" s="2026" t="s">
        <v>2534</v>
      </c>
      <c r="AD1665" s="2026" t="s">
        <v>2534</v>
      </c>
      <c r="AE1665" s="64"/>
    </row>
    <row r="1666" spans="1:31" ht="114.75">
      <c r="A1666" s="1922">
        <v>12</v>
      </c>
      <c r="B1666" s="1923" t="s">
        <v>2611</v>
      </c>
      <c r="C1666" s="1924">
        <v>10</v>
      </c>
      <c r="D1666" s="1925" t="s">
        <v>2558</v>
      </c>
      <c r="E1666" s="1925" t="s">
        <v>107</v>
      </c>
      <c r="F1666" s="1925" t="s">
        <v>66</v>
      </c>
      <c r="G1666" s="1925" t="s">
        <v>167</v>
      </c>
      <c r="H1666" s="1925"/>
      <c r="I1666" s="1923" t="s">
        <v>2637</v>
      </c>
      <c r="J1666" s="1964" t="s">
        <v>2638</v>
      </c>
      <c r="K1666" s="1997">
        <v>160</v>
      </c>
      <c r="L1666" s="1933">
        <f>SUM(L1667:L1670)</f>
        <v>11070000000</v>
      </c>
      <c r="M1666" s="1998">
        <f>25+27</f>
        <v>52</v>
      </c>
      <c r="N1666" s="1931">
        <f>SUM(N1667:N1670)</f>
        <v>3046661947</v>
      </c>
      <c r="O1666" s="1997">
        <v>27</v>
      </c>
      <c r="P1666" s="1931">
        <f>SUM(P1667:P1670)</f>
        <v>750362759</v>
      </c>
      <c r="Q1666" s="1932">
        <v>8</v>
      </c>
      <c r="R1666" s="1931">
        <f>SUM(R1667:R1670)</f>
        <v>94803646</v>
      </c>
      <c r="S1666" s="1957"/>
      <c r="T1666" s="1957"/>
      <c r="U1666" s="1957"/>
      <c r="V1666" s="1957"/>
      <c r="W1666" s="1957"/>
      <c r="X1666" s="1957"/>
      <c r="Y1666" s="1932">
        <f t="shared" ref="Y1666:Z1670" si="475">Q1666</f>
        <v>8</v>
      </c>
      <c r="Z1666" s="1933">
        <f t="shared" si="475"/>
        <v>94803646</v>
      </c>
      <c r="AA1666" s="1934">
        <f>M1666+Q1666</f>
        <v>60</v>
      </c>
      <c r="AB1666" s="1933">
        <f>N1666+Z1666</f>
        <v>3141465593</v>
      </c>
      <c r="AC1666" s="1967">
        <f t="shared" ref="AC1666:AC1669" si="476">AA1666/K1666*100</f>
        <v>37.5</v>
      </c>
      <c r="AD1666" s="1968">
        <f>AB1666/L1666*100</f>
        <v>28.378189638663052</v>
      </c>
      <c r="AE1666" s="1957"/>
    </row>
    <row r="1667" spans="1:31" ht="38.25">
      <c r="A1667" s="497"/>
      <c r="B1667" s="383"/>
      <c r="C1667" s="1935">
        <v>10</v>
      </c>
      <c r="D1667" s="1236" t="s">
        <v>2558</v>
      </c>
      <c r="E1667" s="1236" t="s">
        <v>107</v>
      </c>
      <c r="F1667" s="1236" t="s">
        <v>66</v>
      </c>
      <c r="G1667" s="1236" t="s">
        <v>167</v>
      </c>
      <c r="H1667" s="1236" t="s">
        <v>66</v>
      </c>
      <c r="I1667" s="741" t="s">
        <v>2639</v>
      </c>
      <c r="J1667" s="1485" t="s">
        <v>2640</v>
      </c>
      <c r="K1667" s="1952">
        <v>160</v>
      </c>
      <c r="L1667" s="1947">
        <v>4100000000</v>
      </c>
      <c r="M1667" s="1983">
        <f>25+27</f>
        <v>52</v>
      </c>
      <c r="N1667" s="1940">
        <f>636878350+529505010</f>
        <v>1166383360</v>
      </c>
      <c r="O1667" s="1952">
        <v>27</v>
      </c>
      <c r="P1667" s="1971">
        <v>268363355</v>
      </c>
      <c r="Q1667" s="1939">
        <v>8</v>
      </c>
      <c r="R1667" s="1940">
        <v>5318821</v>
      </c>
      <c r="S1667" s="64"/>
      <c r="T1667" s="64"/>
      <c r="U1667" s="64"/>
      <c r="V1667" s="64"/>
      <c r="W1667" s="64"/>
      <c r="X1667" s="64"/>
      <c r="Y1667" s="1939">
        <f t="shared" si="475"/>
        <v>8</v>
      </c>
      <c r="Z1667" s="1942">
        <f t="shared" si="475"/>
        <v>5318821</v>
      </c>
      <c r="AA1667" s="1939">
        <f>M1667+Q1667</f>
        <v>60</v>
      </c>
      <c r="AB1667" s="1944">
        <f>N1667+Z1667</f>
        <v>1171702181</v>
      </c>
      <c r="AC1667" s="1945">
        <f t="shared" si="476"/>
        <v>37.5</v>
      </c>
      <c r="AD1667" s="1946">
        <f>AB1667/L1667*100</f>
        <v>28.578101975609755</v>
      </c>
      <c r="AE1667" s="754" t="s">
        <v>2641</v>
      </c>
    </row>
    <row r="1668" spans="1:31" ht="38.25">
      <c r="A1668" s="497"/>
      <c r="B1668" s="383"/>
      <c r="C1668" s="1935">
        <v>10</v>
      </c>
      <c r="D1668" s="1236" t="s">
        <v>2558</v>
      </c>
      <c r="E1668" s="1236" t="s">
        <v>107</v>
      </c>
      <c r="F1668" s="1236" t="s">
        <v>66</v>
      </c>
      <c r="G1668" s="1236" t="s">
        <v>167</v>
      </c>
      <c r="H1668" s="1236" t="s">
        <v>95</v>
      </c>
      <c r="I1668" s="741" t="s">
        <v>2642</v>
      </c>
      <c r="J1668" s="1485" t="s">
        <v>2643</v>
      </c>
      <c r="K1668" s="1949">
        <v>14700</v>
      </c>
      <c r="L1668" s="1947">
        <v>1800000000</v>
      </c>
      <c r="M1668" s="1983">
        <f>2400+2400</f>
        <v>4800</v>
      </c>
      <c r="N1668" s="1940">
        <f>132216226+208600385</f>
        <v>340816611</v>
      </c>
      <c r="O1668" s="1999">
        <v>2400</v>
      </c>
      <c r="P1668" s="1971">
        <v>135705690</v>
      </c>
      <c r="Q1668" s="1939">
        <v>1000</v>
      </c>
      <c r="R1668" s="1940">
        <v>16020835</v>
      </c>
      <c r="S1668" s="64"/>
      <c r="T1668" s="64"/>
      <c r="U1668" s="64"/>
      <c r="V1668" s="64"/>
      <c r="W1668" s="64"/>
      <c r="X1668" s="64"/>
      <c r="Y1668" s="1939">
        <f t="shared" si="475"/>
        <v>1000</v>
      </c>
      <c r="Z1668" s="1942">
        <f t="shared" si="475"/>
        <v>16020835</v>
      </c>
      <c r="AA1668" s="1939">
        <f>M1668+Q1668</f>
        <v>5800</v>
      </c>
      <c r="AB1668" s="1944">
        <f>N1668+Z1668</f>
        <v>356837446</v>
      </c>
      <c r="AC1668" s="1945">
        <f t="shared" si="476"/>
        <v>39.455782312925166</v>
      </c>
      <c r="AD1668" s="1946">
        <f>AB1668/L1668*100</f>
        <v>19.824302555555555</v>
      </c>
      <c r="AE1668" s="754" t="s">
        <v>2641</v>
      </c>
    </row>
    <row r="1669" spans="1:31" ht="25.5">
      <c r="A1669" s="497"/>
      <c r="B1669" s="383"/>
      <c r="C1669" s="1935">
        <v>10</v>
      </c>
      <c r="D1669" s="1236" t="s">
        <v>2558</v>
      </c>
      <c r="E1669" s="1236" t="s">
        <v>107</v>
      </c>
      <c r="F1669" s="1236" t="s">
        <v>66</v>
      </c>
      <c r="G1669" s="1236" t="s">
        <v>167</v>
      </c>
      <c r="H1669" s="1236" t="s">
        <v>198</v>
      </c>
      <c r="I1669" s="741" t="s">
        <v>649</v>
      </c>
      <c r="J1669" s="1485" t="s">
        <v>2644</v>
      </c>
      <c r="K1669" s="1938">
        <v>320</v>
      </c>
      <c r="L1669" s="1947">
        <v>4800000000</v>
      </c>
      <c r="M1669" s="1983">
        <f>40+50</f>
        <v>90</v>
      </c>
      <c r="N1669" s="1940">
        <f>728365964+811096012</f>
        <v>1539461976</v>
      </c>
      <c r="O1669" s="1938">
        <v>50</v>
      </c>
      <c r="P1669" s="1971">
        <v>285789262</v>
      </c>
      <c r="Q1669" s="1939">
        <v>20</v>
      </c>
      <c r="R1669" s="1940">
        <v>73463990</v>
      </c>
      <c r="S1669" s="64"/>
      <c r="T1669" s="64"/>
      <c r="U1669" s="64"/>
      <c r="V1669" s="64"/>
      <c r="W1669" s="64"/>
      <c r="X1669" s="64"/>
      <c r="Y1669" s="1939">
        <f t="shared" si="475"/>
        <v>20</v>
      </c>
      <c r="Z1669" s="1942">
        <f t="shared" si="475"/>
        <v>73463990</v>
      </c>
      <c r="AA1669" s="1939">
        <f>M1669+Q1669</f>
        <v>110</v>
      </c>
      <c r="AB1669" s="1944">
        <f>N1669+Z1669</f>
        <v>1612925966</v>
      </c>
      <c r="AC1669" s="1945">
        <f t="shared" si="476"/>
        <v>34.375</v>
      </c>
      <c r="AD1669" s="1946">
        <f>AB1669/L1669*100</f>
        <v>33.602624291666665</v>
      </c>
      <c r="AE1669" s="754" t="s">
        <v>2641</v>
      </c>
    </row>
    <row r="1670" spans="1:31" ht="51">
      <c r="A1670" s="497"/>
      <c r="B1670" s="383"/>
      <c r="C1670" s="1935">
        <v>10</v>
      </c>
      <c r="D1670" s="1236" t="s">
        <v>2558</v>
      </c>
      <c r="E1670" s="1236" t="s">
        <v>107</v>
      </c>
      <c r="F1670" s="1236" t="s">
        <v>66</v>
      </c>
      <c r="G1670" s="1236" t="s">
        <v>167</v>
      </c>
      <c r="H1670" s="1236" t="s">
        <v>93</v>
      </c>
      <c r="I1670" s="741" t="s">
        <v>2645</v>
      </c>
      <c r="J1670" s="1485" t="s">
        <v>2646</v>
      </c>
      <c r="K1670" s="1938">
        <v>130</v>
      </c>
      <c r="L1670" s="1947">
        <v>370000000</v>
      </c>
      <c r="M1670" s="1939"/>
      <c r="N1670" s="64"/>
      <c r="O1670" s="1938">
        <v>30</v>
      </c>
      <c r="P1670" s="1971">
        <v>60504452</v>
      </c>
      <c r="Q1670" s="1939"/>
      <c r="R1670" s="1940"/>
      <c r="S1670" s="64"/>
      <c r="T1670" s="64"/>
      <c r="U1670" s="64"/>
      <c r="V1670" s="64"/>
      <c r="W1670" s="64"/>
      <c r="X1670" s="64"/>
      <c r="Y1670" s="1959">
        <f t="shared" si="475"/>
        <v>0</v>
      </c>
      <c r="Z1670" s="1942">
        <f t="shared" si="475"/>
        <v>0</v>
      </c>
      <c r="AA1670" s="1939">
        <f>M1670+Q1670</f>
        <v>0</v>
      </c>
      <c r="AB1670" s="1944">
        <f>N1670+Z1670</f>
        <v>0</v>
      </c>
      <c r="AC1670" s="64"/>
      <c r="AD1670" s="1946"/>
      <c r="AE1670" s="754" t="s">
        <v>2641</v>
      </c>
    </row>
    <row r="1671" spans="1:31">
      <c r="A1671" s="2601" t="s">
        <v>2532</v>
      </c>
      <c r="B1671" s="2602"/>
      <c r="C1671" s="2602"/>
      <c r="D1671" s="2602"/>
      <c r="E1671" s="2602"/>
      <c r="F1671" s="2602"/>
      <c r="G1671" s="2602"/>
      <c r="H1671" s="2602"/>
      <c r="I1671" s="2602"/>
      <c r="J1671" s="2602"/>
      <c r="K1671" s="2602"/>
      <c r="L1671" s="2602"/>
      <c r="M1671" s="2602"/>
      <c r="N1671" s="2602"/>
      <c r="O1671" s="2602"/>
      <c r="P1671" s="2602"/>
      <c r="Q1671" s="2602"/>
      <c r="R1671" s="2602"/>
      <c r="S1671" s="2602"/>
      <c r="T1671" s="2602"/>
      <c r="U1671" s="2602"/>
      <c r="V1671" s="2602"/>
      <c r="W1671" s="2602"/>
      <c r="X1671" s="2602"/>
      <c r="Y1671" s="2602"/>
      <c r="Z1671" s="2602"/>
      <c r="AA1671" s="2602"/>
      <c r="AB1671" s="2603"/>
      <c r="AC1671" s="2029">
        <f>SUM(AC1667:AC1670)/4</f>
        <v>27.832695578231291</v>
      </c>
      <c r="AD1671" s="2029">
        <f>SUM(AD1667:AD1670)/4</f>
        <v>20.501257205707994</v>
      </c>
      <c r="AE1671" s="64"/>
    </row>
    <row r="1672" spans="1:31">
      <c r="A1672" s="2601" t="s">
        <v>2533</v>
      </c>
      <c r="B1672" s="2602"/>
      <c r="C1672" s="2602"/>
      <c r="D1672" s="2602"/>
      <c r="E1672" s="2602"/>
      <c r="F1672" s="2602"/>
      <c r="G1672" s="2602"/>
      <c r="H1672" s="2602"/>
      <c r="I1672" s="2602"/>
      <c r="J1672" s="2602"/>
      <c r="K1672" s="2602"/>
      <c r="L1672" s="2602"/>
      <c r="M1672" s="2602"/>
      <c r="N1672" s="2602"/>
      <c r="O1672" s="2602"/>
      <c r="P1672" s="2602"/>
      <c r="Q1672" s="2602"/>
      <c r="R1672" s="2602"/>
      <c r="S1672" s="2602"/>
      <c r="T1672" s="2602"/>
      <c r="U1672" s="2602"/>
      <c r="V1672" s="2602"/>
      <c r="W1672" s="2602"/>
      <c r="X1672" s="2602"/>
      <c r="Y1672" s="2602"/>
      <c r="Z1672" s="2602"/>
      <c r="AA1672" s="2602"/>
      <c r="AB1672" s="2603"/>
      <c r="AC1672" s="1883" t="s">
        <v>2534</v>
      </c>
      <c r="AD1672" s="1883" t="s">
        <v>2534</v>
      </c>
      <c r="AE1672" s="64"/>
    </row>
    <row r="1673" spans="1:31" ht="63.75">
      <c r="A1673" s="495">
        <v>13</v>
      </c>
      <c r="B1673" s="344" t="s">
        <v>2557</v>
      </c>
      <c r="C1673" s="1935" t="s">
        <v>391</v>
      </c>
      <c r="D1673" s="1236" t="s">
        <v>2558</v>
      </c>
      <c r="E1673" s="1236" t="s">
        <v>107</v>
      </c>
      <c r="F1673" s="1236" t="s">
        <v>66</v>
      </c>
      <c r="G1673" s="1236" t="s">
        <v>166</v>
      </c>
      <c r="H1673" s="1236"/>
      <c r="I1673" s="344" t="s">
        <v>2479</v>
      </c>
      <c r="J1673" s="1471" t="s">
        <v>2647</v>
      </c>
      <c r="K1673" s="2119">
        <v>69</v>
      </c>
      <c r="L1673" s="2120" t="e">
        <f>#REF!</f>
        <v>#REF!</v>
      </c>
      <c r="M1673" s="633">
        <v>6</v>
      </c>
      <c r="N1673" s="2121" t="e">
        <f>#REF!</f>
        <v>#REF!</v>
      </c>
      <c r="O1673" s="2122">
        <v>3</v>
      </c>
      <c r="P1673" s="2123" t="e">
        <f>#REF!</f>
        <v>#REF!</v>
      </c>
      <c r="Q1673" s="2124"/>
      <c r="R1673" s="2121" t="e">
        <f>#REF!</f>
        <v>#REF!</v>
      </c>
      <c r="S1673" s="385"/>
      <c r="T1673" s="385"/>
      <c r="U1673" s="385"/>
      <c r="V1673" s="385"/>
      <c r="W1673" s="385"/>
      <c r="X1673" s="385"/>
      <c r="Y1673" s="2123">
        <f>Q1673</f>
        <v>0</v>
      </c>
      <c r="Z1673" s="2125" t="e">
        <f>R1673</f>
        <v>#REF!</v>
      </c>
      <c r="AA1673" s="633">
        <f>M1673+Q1673</f>
        <v>6</v>
      </c>
      <c r="AB1673" s="2125" t="e">
        <f>N1673+Z1673</f>
        <v>#REF!</v>
      </c>
      <c r="AC1673" s="2126">
        <f t="shared" ref="AC1673" si="477">AA1673/K1673*100</f>
        <v>8.695652173913043</v>
      </c>
      <c r="AD1673" s="389" t="e">
        <f>AB1673/L1673*100</f>
        <v>#REF!</v>
      </c>
      <c r="AE1673" s="385"/>
    </row>
    <row r="1674" spans="1:31">
      <c r="A1674" s="2601" t="s">
        <v>2532</v>
      </c>
      <c r="B1674" s="2602"/>
      <c r="C1674" s="2602"/>
      <c r="D1674" s="2602"/>
      <c r="E1674" s="2602"/>
      <c r="F1674" s="2602"/>
      <c r="G1674" s="2602"/>
      <c r="H1674" s="2602"/>
      <c r="I1674" s="2602"/>
      <c r="J1674" s="2602"/>
      <c r="K1674" s="2602"/>
      <c r="L1674" s="2602"/>
      <c r="M1674" s="2602"/>
      <c r="N1674" s="2602"/>
      <c r="O1674" s="2602"/>
      <c r="P1674" s="2602"/>
      <c r="Q1674" s="2602"/>
      <c r="R1674" s="2602"/>
      <c r="S1674" s="2602"/>
      <c r="T1674" s="2602"/>
      <c r="U1674" s="2602"/>
      <c r="V1674" s="2602"/>
      <c r="W1674" s="2602"/>
      <c r="X1674" s="2602"/>
      <c r="Y1674" s="2602"/>
      <c r="Z1674" s="2602"/>
      <c r="AA1674" s="2602"/>
      <c r="AB1674" s="2603"/>
      <c r="AC1674" s="2031" t="e">
        <f>#REF!</f>
        <v>#REF!</v>
      </c>
      <c r="AD1674" s="2031" t="e">
        <f>#REF!</f>
        <v>#REF!</v>
      </c>
      <c r="AE1674" s="64"/>
    </row>
    <row r="1675" spans="1:31">
      <c r="A1675" s="2601" t="s">
        <v>2533</v>
      </c>
      <c r="B1675" s="2602"/>
      <c r="C1675" s="2602"/>
      <c r="D1675" s="2602"/>
      <c r="E1675" s="2602"/>
      <c r="F1675" s="2602"/>
      <c r="G1675" s="2602"/>
      <c r="H1675" s="2602"/>
      <c r="I1675" s="2602"/>
      <c r="J1675" s="2602"/>
      <c r="K1675" s="2602"/>
      <c r="L1675" s="2602"/>
      <c r="M1675" s="2602"/>
      <c r="N1675" s="2602"/>
      <c r="O1675" s="2602"/>
      <c r="P1675" s="2602"/>
      <c r="Q1675" s="2602"/>
      <c r="R1675" s="2602"/>
      <c r="S1675" s="2602"/>
      <c r="T1675" s="2602"/>
      <c r="U1675" s="2602"/>
      <c r="V1675" s="2602"/>
      <c r="W1675" s="2602"/>
      <c r="X1675" s="2602"/>
      <c r="Y1675" s="2602"/>
      <c r="Z1675" s="2602"/>
      <c r="AA1675" s="2602"/>
      <c r="AB1675" s="2603"/>
      <c r="AC1675" s="2026" t="s">
        <v>2534</v>
      </c>
      <c r="AD1675" s="2026" t="s">
        <v>2534</v>
      </c>
      <c r="AE1675" s="64"/>
    </row>
    <row r="1676" spans="1:31" ht="63.75">
      <c r="A1676" s="495">
        <v>14</v>
      </c>
      <c r="B1676" s="344" t="s">
        <v>2557</v>
      </c>
      <c r="C1676" s="1935" t="s">
        <v>391</v>
      </c>
      <c r="D1676" s="1236" t="s">
        <v>2558</v>
      </c>
      <c r="E1676" s="1236" t="s">
        <v>107</v>
      </c>
      <c r="F1676" s="1236" t="s">
        <v>66</v>
      </c>
      <c r="G1676" s="1236" t="s">
        <v>376</v>
      </c>
      <c r="H1676" s="1236"/>
      <c r="I1676" s="344" t="s">
        <v>2648</v>
      </c>
      <c r="J1676" s="1471" t="s">
        <v>2649</v>
      </c>
      <c r="K1676" s="2127">
        <v>555</v>
      </c>
      <c r="L1676" s="2128">
        <f>L1677</f>
        <v>295000000</v>
      </c>
      <c r="M1676" s="633">
        <f>85+90</f>
        <v>175</v>
      </c>
      <c r="N1676" s="2121">
        <f>N1677</f>
        <v>50089800</v>
      </c>
      <c r="O1676" s="2127">
        <v>95</v>
      </c>
      <c r="P1676" s="2123">
        <f>P1677</f>
        <v>33738400.75</v>
      </c>
      <c r="Q1676" s="633">
        <v>50</v>
      </c>
      <c r="R1676" s="2121">
        <f>R1677</f>
        <v>5150000</v>
      </c>
      <c r="S1676" s="385"/>
      <c r="T1676" s="385"/>
      <c r="U1676" s="385"/>
      <c r="V1676" s="385"/>
      <c r="W1676" s="385"/>
      <c r="X1676" s="385"/>
      <c r="Y1676" s="633">
        <f>Q1676</f>
        <v>50</v>
      </c>
      <c r="Z1676" s="1944">
        <f>R1676</f>
        <v>5150000</v>
      </c>
      <c r="AA1676" s="2129">
        <f>M1676+Q1676</f>
        <v>225</v>
      </c>
      <c r="AB1676" s="1944">
        <f>N1676+Z1676</f>
        <v>55239800</v>
      </c>
      <c r="AC1676" s="2126">
        <f t="shared" ref="AC1676:AC1677" si="478">AA1676/K1676*100</f>
        <v>40.54054054054054</v>
      </c>
      <c r="AD1676" s="389">
        <f>AB1676/L1676*100</f>
        <v>18.725355932203389</v>
      </c>
      <c r="AE1676" s="385"/>
    </row>
    <row r="1677" spans="1:31" ht="38.25">
      <c r="A1677" s="497"/>
      <c r="B1677" s="383"/>
      <c r="C1677" s="1935" t="s">
        <v>391</v>
      </c>
      <c r="D1677" s="1236" t="s">
        <v>2558</v>
      </c>
      <c r="E1677" s="1236" t="s">
        <v>107</v>
      </c>
      <c r="F1677" s="1236" t="s">
        <v>66</v>
      </c>
      <c r="G1677" s="1236" t="s">
        <v>376</v>
      </c>
      <c r="H1677" s="1236" t="s">
        <v>167</v>
      </c>
      <c r="I1677" s="741" t="s">
        <v>2650</v>
      </c>
      <c r="J1677" s="741" t="s">
        <v>2651</v>
      </c>
      <c r="K1677" s="1938">
        <f>24*6</f>
        <v>144</v>
      </c>
      <c r="L1677" s="1947">
        <v>295000000</v>
      </c>
      <c r="M1677" s="1939">
        <f>24*2</f>
        <v>48</v>
      </c>
      <c r="N1677" s="1940">
        <f>22191000+27898800</f>
        <v>50089800</v>
      </c>
      <c r="O1677" s="1938">
        <v>24</v>
      </c>
      <c r="P1677" s="1971">
        <v>33738400.75</v>
      </c>
      <c r="Q1677" s="1939">
        <v>6</v>
      </c>
      <c r="R1677" s="1940">
        <v>5150000</v>
      </c>
      <c r="S1677" s="64"/>
      <c r="T1677" s="64"/>
      <c r="U1677" s="64"/>
      <c r="V1677" s="64"/>
      <c r="W1677" s="64"/>
      <c r="X1677" s="64"/>
      <c r="Y1677" s="1943">
        <f>Q1677</f>
        <v>6</v>
      </c>
      <c r="Z1677" s="1942">
        <f>R1677</f>
        <v>5150000</v>
      </c>
      <c r="AA1677" s="1939">
        <f>M1677+Q1677</f>
        <v>54</v>
      </c>
      <c r="AB1677" s="1944">
        <f>N1677+Z1677</f>
        <v>55239800</v>
      </c>
      <c r="AC1677" s="1945">
        <f t="shared" si="478"/>
        <v>37.5</v>
      </c>
      <c r="AD1677" s="1946">
        <f>AB1677/L1677*100</f>
        <v>18.725355932203389</v>
      </c>
      <c r="AE1677" s="64" t="s">
        <v>2562</v>
      </c>
    </row>
    <row r="1678" spans="1:31">
      <c r="A1678" s="2601" t="s">
        <v>2532</v>
      </c>
      <c r="B1678" s="2602"/>
      <c r="C1678" s="2602"/>
      <c r="D1678" s="2602"/>
      <c r="E1678" s="2602"/>
      <c r="F1678" s="2602"/>
      <c r="G1678" s="2602"/>
      <c r="H1678" s="2602"/>
      <c r="I1678" s="2602"/>
      <c r="J1678" s="2602"/>
      <c r="K1678" s="2602"/>
      <c r="L1678" s="2602"/>
      <c r="M1678" s="2602"/>
      <c r="N1678" s="2602"/>
      <c r="O1678" s="2602"/>
      <c r="P1678" s="2602"/>
      <c r="Q1678" s="2602"/>
      <c r="R1678" s="2602"/>
      <c r="S1678" s="2602"/>
      <c r="T1678" s="2602"/>
      <c r="U1678" s="2602"/>
      <c r="V1678" s="2602"/>
      <c r="W1678" s="2602"/>
      <c r="X1678" s="2602"/>
      <c r="Y1678" s="2602"/>
      <c r="Z1678" s="2602"/>
      <c r="AA1678" s="2602"/>
      <c r="AB1678" s="2603"/>
      <c r="AC1678" s="2031">
        <f>AC1677</f>
        <v>37.5</v>
      </c>
      <c r="AD1678" s="2031">
        <f>AD1677</f>
        <v>18.725355932203389</v>
      </c>
      <c r="AE1678" s="64"/>
    </row>
    <row r="1679" spans="1:31">
      <c r="A1679" s="2601" t="s">
        <v>2533</v>
      </c>
      <c r="B1679" s="2602"/>
      <c r="C1679" s="2602"/>
      <c r="D1679" s="2602"/>
      <c r="E1679" s="2602"/>
      <c r="F1679" s="2602"/>
      <c r="G1679" s="2602"/>
      <c r="H1679" s="2602"/>
      <c r="I1679" s="2602"/>
      <c r="J1679" s="2602"/>
      <c r="K1679" s="2602"/>
      <c r="L1679" s="2602"/>
      <c r="M1679" s="2602"/>
      <c r="N1679" s="2602"/>
      <c r="O1679" s="2602"/>
      <c r="P1679" s="2602"/>
      <c r="Q1679" s="2602"/>
      <c r="R1679" s="2602"/>
      <c r="S1679" s="2602"/>
      <c r="T1679" s="2602"/>
      <c r="U1679" s="2602"/>
      <c r="V1679" s="2602"/>
      <c r="W1679" s="2602"/>
      <c r="X1679" s="2602"/>
      <c r="Y1679" s="2602"/>
      <c r="Z1679" s="2602"/>
      <c r="AA1679" s="2602"/>
      <c r="AB1679" s="2603"/>
      <c r="AC1679" s="2026" t="s">
        <v>2534</v>
      </c>
      <c r="AD1679" s="2026" t="s">
        <v>2534</v>
      </c>
      <c r="AE1679" s="64"/>
    </row>
    <row r="1680" spans="1:31" s="63" customFormat="1" ht="51">
      <c r="A1680" s="495">
        <v>15</v>
      </c>
      <c r="B1680" s="344" t="s">
        <v>2510</v>
      </c>
      <c r="C1680" s="1935" t="s">
        <v>167</v>
      </c>
      <c r="D1680" s="1236" t="s">
        <v>2558</v>
      </c>
      <c r="E1680" s="1236" t="s">
        <v>107</v>
      </c>
      <c r="F1680" s="1236" t="s">
        <v>66</v>
      </c>
      <c r="G1680" s="1236" t="s">
        <v>166</v>
      </c>
      <c r="H1680" s="1236"/>
      <c r="I1680" s="344" t="s">
        <v>2652</v>
      </c>
      <c r="J1680" s="2130" t="s">
        <v>2653</v>
      </c>
      <c r="K1680" s="2131">
        <v>490</v>
      </c>
      <c r="L1680" s="2120">
        <f>L1681</f>
        <v>1385000000</v>
      </c>
      <c r="M1680" s="633">
        <f>70+75</f>
        <v>145</v>
      </c>
      <c r="N1680" s="2125">
        <f>N1681</f>
        <v>268296673</v>
      </c>
      <c r="O1680" s="2131">
        <v>80</v>
      </c>
      <c r="P1680" s="2123">
        <f>P1681</f>
        <v>60795772</v>
      </c>
      <c r="Q1680" s="633">
        <v>40</v>
      </c>
      <c r="R1680" s="2125">
        <f>R1681</f>
        <v>5032000</v>
      </c>
      <c r="S1680" s="616"/>
      <c r="T1680" s="616"/>
      <c r="U1680" s="616"/>
      <c r="V1680" s="616"/>
      <c r="W1680" s="616"/>
      <c r="X1680" s="616"/>
      <c r="Y1680" s="633">
        <f t="shared" ref="Y1680:Z1685" si="479">Q1680</f>
        <v>40</v>
      </c>
      <c r="Z1680" s="2125">
        <f t="shared" si="479"/>
        <v>5032000</v>
      </c>
      <c r="AA1680" s="633">
        <f>M1680+Q1680</f>
        <v>185</v>
      </c>
      <c r="AB1680" s="2125">
        <f>N1680+Z1680</f>
        <v>273328673</v>
      </c>
      <c r="AC1680" s="2132">
        <f t="shared" ref="AC1680:AC1681" si="480">AA1680/K1680*100</f>
        <v>37.755102040816325</v>
      </c>
      <c r="AD1680" s="493">
        <f>AB1680/L1680*100</f>
        <v>19.734922238267146</v>
      </c>
      <c r="AE1680" s="616"/>
    </row>
    <row r="1681" spans="1:31" ht="25.5">
      <c r="A1681" s="497"/>
      <c r="B1681" s="383"/>
      <c r="C1681" s="1935" t="s">
        <v>167</v>
      </c>
      <c r="D1681" s="1236" t="s">
        <v>2558</v>
      </c>
      <c r="E1681" s="1236" t="s">
        <v>107</v>
      </c>
      <c r="F1681" s="1236" t="s">
        <v>66</v>
      </c>
      <c r="G1681" s="1236" t="s">
        <v>166</v>
      </c>
      <c r="H1681" s="1236" t="s">
        <v>65</v>
      </c>
      <c r="I1681" s="741" t="s">
        <v>2654</v>
      </c>
      <c r="J1681" s="741" t="s">
        <v>2655</v>
      </c>
      <c r="K1681" s="1952">
        <v>14000</v>
      </c>
      <c r="L1681" s="1947">
        <v>1385000000</v>
      </c>
      <c r="M1681" s="1939">
        <f>2000+2000</f>
        <v>4000</v>
      </c>
      <c r="N1681" s="1940">
        <f>119109000+149187673</f>
        <v>268296673</v>
      </c>
      <c r="O1681" s="1952">
        <v>2500</v>
      </c>
      <c r="P1681" s="1941">
        <v>60795772</v>
      </c>
      <c r="Q1681" s="1939">
        <v>1000</v>
      </c>
      <c r="R1681" s="1940">
        <v>5032000</v>
      </c>
      <c r="S1681" s="64"/>
      <c r="T1681" s="64"/>
      <c r="U1681" s="64"/>
      <c r="V1681" s="64"/>
      <c r="W1681" s="64"/>
      <c r="X1681" s="64"/>
      <c r="Y1681" s="1939">
        <f t="shared" si="479"/>
        <v>1000</v>
      </c>
      <c r="Z1681" s="1942">
        <f t="shared" si="479"/>
        <v>5032000</v>
      </c>
      <c r="AA1681" s="1939">
        <f>M1681+Q1681</f>
        <v>5000</v>
      </c>
      <c r="AB1681" s="1944">
        <f>N1681+Z1681</f>
        <v>273328673</v>
      </c>
      <c r="AC1681" s="1945">
        <f t="shared" si="480"/>
        <v>35.714285714285715</v>
      </c>
      <c r="AD1681" s="1946">
        <f>AB1681/L1681*100</f>
        <v>19.734922238267146</v>
      </c>
      <c r="AE1681" s="64" t="s">
        <v>2513</v>
      </c>
    </row>
    <row r="1682" spans="1:31">
      <c r="A1682" s="2601" t="s">
        <v>2532</v>
      </c>
      <c r="B1682" s="2602"/>
      <c r="C1682" s="2602"/>
      <c r="D1682" s="2602"/>
      <c r="E1682" s="2602"/>
      <c r="F1682" s="2602"/>
      <c r="G1682" s="2602"/>
      <c r="H1682" s="2602"/>
      <c r="I1682" s="2602"/>
      <c r="J1682" s="2602"/>
      <c r="K1682" s="2602"/>
      <c r="L1682" s="2602"/>
      <c r="M1682" s="2602"/>
      <c r="N1682" s="2602"/>
      <c r="O1682" s="2602"/>
      <c r="P1682" s="2602"/>
      <c r="Q1682" s="2602"/>
      <c r="R1682" s="2602"/>
      <c r="S1682" s="2602"/>
      <c r="T1682" s="2602"/>
      <c r="U1682" s="2602"/>
      <c r="V1682" s="2602"/>
      <c r="W1682" s="2602"/>
      <c r="X1682" s="2602"/>
      <c r="Y1682" s="2602"/>
      <c r="Z1682" s="2602"/>
      <c r="AA1682" s="2602"/>
      <c r="AB1682" s="2603"/>
      <c r="AC1682" s="2031">
        <f>AC1681</f>
        <v>35.714285714285715</v>
      </c>
      <c r="AD1682" s="2031">
        <f>AD1681</f>
        <v>19.734922238267146</v>
      </c>
      <c r="AE1682" s="64"/>
    </row>
    <row r="1683" spans="1:31">
      <c r="A1683" s="2601" t="s">
        <v>2533</v>
      </c>
      <c r="B1683" s="2602"/>
      <c r="C1683" s="2602"/>
      <c r="D1683" s="2602"/>
      <c r="E1683" s="2602"/>
      <c r="F1683" s="2602"/>
      <c r="G1683" s="2602"/>
      <c r="H1683" s="2602"/>
      <c r="I1683" s="2602"/>
      <c r="J1683" s="2602"/>
      <c r="K1683" s="2602"/>
      <c r="L1683" s="2602"/>
      <c r="M1683" s="2602"/>
      <c r="N1683" s="2602"/>
      <c r="O1683" s="2602"/>
      <c r="P1683" s="2602"/>
      <c r="Q1683" s="2602"/>
      <c r="R1683" s="2602"/>
      <c r="S1683" s="2602"/>
      <c r="T1683" s="2602"/>
      <c r="U1683" s="2602"/>
      <c r="V1683" s="2602"/>
      <c r="W1683" s="2602"/>
      <c r="X1683" s="2602"/>
      <c r="Y1683" s="2602"/>
      <c r="Z1683" s="2602"/>
      <c r="AA1683" s="2602"/>
      <c r="AB1683" s="2603"/>
      <c r="AC1683" s="2026" t="s">
        <v>2534</v>
      </c>
      <c r="AD1683" s="2026" t="s">
        <v>2534</v>
      </c>
      <c r="AE1683" s="64"/>
    </row>
    <row r="1684" spans="1:31" s="63" customFormat="1" ht="122.25" customHeight="1">
      <c r="A1684" s="495">
        <v>16</v>
      </c>
      <c r="B1684" s="344" t="s">
        <v>2611</v>
      </c>
      <c r="C1684" s="1935" t="s">
        <v>197</v>
      </c>
      <c r="D1684" s="1236" t="s">
        <v>2558</v>
      </c>
      <c r="E1684" s="1236" t="s">
        <v>107</v>
      </c>
      <c r="F1684" s="1236" t="s">
        <v>66</v>
      </c>
      <c r="G1684" s="1236" t="s">
        <v>167</v>
      </c>
      <c r="H1684" s="1236"/>
      <c r="I1684" s="383" t="s">
        <v>2656</v>
      </c>
      <c r="J1684" s="1471" t="s">
        <v>2657</v>
      </c>
      <c r="K1684" s="2133">
        <v>3</v>
      </c>
      <c r="L1684" s="2128">
        <f>L1685</f>
        <v>440000000</v>
      </c>
      <c r="M1684" s="633"/>
      <c r="N1684" s="616"/>
      <c r="O1684" s="616"/>
      <c r="P1684" s="2123">
        <f>P1685</f>
        <v>45651400</v>
      </c>
      <c r="Q1684" s="2129">
        <v>1</v>
      </c>
      <c r="R1684" s="2121">
        <f>R1685</f>
        <v>3289000</v>
      </c>
      <c r="S1684" s="616"/>
      <c r="T1684" s="616"/>
      <c r="U1684" s="616"/>
      <c r="V1684" s="616"/>
      <c r="W1684" s="616"/>
      <c r="X1684" s="616"/>
      <c r="Y1684" s="633">
        <f t="shared" si="479"/>
        <v>1</v>
      </c>
      <c r="Z1684" s="2125">
        <f t="shared" si="479"/>
        <v>3289000</v>
      </c>
      <c r="AA1684" s="633">
        <f>M1684+Q1684</f>
        <v>1</v>
      </c>
      <c r="AB1684" s="2125">
        <f>N1684+Z1684</f>
        <v>3289000</v>
      </c>
      <c r="AC1684" s="2126">
        <f t="shared" ref="AC1684:AC1685" si="481">AA1684/K1684*100</f>
        <v>33.333333333333329</v>
      </c>
      <c r="AD1684" s="389">
        <f>AB1684/L1684*100</f>
        <v>0.74749999999999994</v>
      </c>
      <c r="AE1684" s="616"/>
    </row>
    <row r="1685" spans="1:31" ht="51">
      <c r="A1685" s="497"/>
      <c r="B1685" s="383"/>
      <c r="C1685" s="1935" t="s">
        <v>197</v>
      </c>
      <c r="D1685" s="1236" t="s">
        <v>2558</v>
      </c>
      <c r="E1685" s="1236" t="s">
        <v>107</v>
      </c>
      <c r="F1685" s="1236" t="s">
        <v>66</v>
      </c>
      <c r="G1685" s="1236" t="s">
        <v>167</v>
      </c>
      <c r="H1685" s="1236" t="s">
        <v>2658</v>
      </c>
      <c r="I1685" s="754" t="s">
        <v>2659</v>
      </c>
      <c r="J1685" s="1485" t="s">
        <v>2660</v>
      </c>
      <c r="K1685" s="1952">
        <v>90</v>
      </c>
      <c r="L1685" s="1947">
        <v>440000000</v>
      </c>
      <c r="M1685" s="1939"/>
      <c r="N1685" s="64"/>
      <c r="O1685" s="1952">
        <v>15</v>
      </c>
      <c r="P1685" s="1971">
        <v>45651400</v>
      </c>
      <c r="Q1685" s="1939">
        <v>2</v>
      </c>
      <c r="R1685" s="1940">
        <v>3289000</v>
      </c>
      <c r="S1685" s="64"/>
      <c r="T1685" s="64"/>
      <c r="U1685" s="64"/>
      <c r="V1685" s="64"/>
      <c r="W1685" s="64"/>
      <c r="X1685" s="64"/>
      <c r="Y1685" s="1939">
        <f t="shared" si="479"/>
        <v>2</v>
      </c>
      <c r="Z1685" s="1942">
        <f t="shared" si="479"/>
        <v>3289000</v>
      </c>
      <c r="AA1685" s="1939">
        <f>M1685+Q1685</f>
        <v>2</v>
      </c>
      <c r="AB1685" s="1944">
        <f>N1685+Z1685</f>
        <v>3289000</v>
      </c>
      <c r="AC1685" s="1945">
        <f t="shared" si="481"/>
        <v>2.2222222222222223</v>
      </c>
      <c r="AD1685" s="1946">
        <f>AB1685/L1685*100</f>
        <v>0.74749999999999994</v>
      </c>
      <c r="AE1685" s="64" t="s">
        <v>2616</v>
      </c>
    </row>
    <row r="1686" spans="1:31">
      <c r="A1686" s="2601" t="s">
        <v>2532</v>
      </c>
      <c r="B1686" s="2602"/>
      <c r="C1686" s="2602"/>
      <c r="D1686" s="2602"/>
      <c r="E1686" s="2602"/>
      <c r="F1686" s="2602"/>
      <c r="G1686" s="2602"/>
      <c r="H1686" s="2602"/>
      <c r="I1686" s="2602"/>
      <c r="J1686" s="2602"/>
      <c r="K1686" s="2602"/>
      <c r="L1686" s="2602"/>
      <c r="M1686" s="2602"/>
      <c r="N1686" s="2602"/>
      <c r="O1686" s="2602"/>
      <c r="P1686" s="2602"/>
      <c r="Q1686" s="2602"/>
      <c r="R1686" s="2602"/>
      <c r="S1686" s="2602"/>
      <c r="T1686" s="2602"/>
      <c r="U1686" s="2602"/>
      <c r="V1686" s="2602"/>
      <c r="W1686" s="2602"/>
      <c r="X1686" s="2602"/>
      <c r="Y1686" s="2602"/>
      <c r="Z1686" s="2602"/>
      <c r="AA1686" s="2602"/>
      <c r="AB1686" s="2603"/>
      <c r="AC1686" s="1963">
        <f>AC1685</f>
        <v>2.2222222222222223</v>
      </c>
      <c r="AD1686" s="2032">
        <f>AD1685</f>
        <v>0.74749999999999994</v>
      </c>
      <c r="AE1686" s="64"/>
    </row>
    <row r="1687" spans="1:31">
      <c r="A1687" s="2601" t="s">
        <v>2533</v>
      </c>
      <c r="B1687" s="2602"/>
      <c r="C1687" s="2602"/>
      <c r="D1687" s="2602"/>
      <c r="E1687" s="2602"/>
      <c r="F1687" s="2602"/>
      <c r="G1687" s="2602"/>
      <c r="H1687" s="2602"/>
      <c r="I1687" s="2602"/>
      <c r="J1687" s="2602"/>
      <c r="K1687" s="2602"/>
      <c r="L1687" s="2602"/>
      <c r="M1687" s="2602"/>
      <c r="N1687" s="2602"/>
      <c r="O1687" s="2602"/>
      <c r="P1687" s="2602"/>
      <c r="Q1687" s="2602"/>
      <c r="R1687" s="2602"/>
      <c r="S1687" s="2602"/>
      <c r="T1687" s="2602"/>
      <c r="U1687" s="2602"/>
      <c r="V1687" s="2602"/>
      <c r="W1687" s="2602"/>
      <c r="X1687" s="2602"/>
      <c r="Y1687" s="2602"/>
      <c r="Z1687" s="2602"/>
      <c r="AA1687" s="2602"/>
      <c r="AB1687" s="2603"/>
      <c r="AC1687" s="2026" t="s">
        <v>2534</v>
      </c>
      <c r="AD1687" s="2028" t="s">
        <v>2534</v>
      </c>
      <c r="AE1687" s="64"/>
    </row>
    <row r="1688" spans="1:31">
      <c r="A1688" s="2033"/>
      <c r="B1688" s="2034"/>
      <c r="C1688" s="2034"/>
      <c r="D1688" s="2034"/>
      <c r="E1688" s="2034"/>
      <c r="F1688" s="2034"/>
      <c r="G1688" s="2034"/>
      <c r="H1688" s="2034"/>
      <c r="I1688" s="2034"/>
      <c r="J1688" s="2034"/>
      <c r="K1688" s="2034"/>
      <c r="L1688" s="2034"/>
      <c r="M1688" s="2034"/>
      <c r="N1688" s="2034"/>
      <c r="O1688" s="2034"/>
      <c r="P1688" s="2034"/>
      <c r="Q1688" s="2001"/>
      <c r="R1688" s="2002"/>
      <c r="S1688" s="2035"/>
      <c r="T1688" s="2036"/>
      <c r="U1688" s="2036"/>
      <c r="V1688" s="2036"/>
      <c r="W1688" s="2036"/>
      <c r="X1688" s="2036"/>
      <c r="Y1688" s="2037"/>
      <c r="Z1688" s="2038"/>
      <c r="AA1688" s="2039"/>
      <c r="AB1688" s="2040"/>
      <c r="AC1688" s="2036"/>
      <c r="AD1688" s="2039"/>
      <c r="AE1688" s="2036"/>
    </row>
    <row r="1689" spans="1:31" s="63" customFormat="1" ht="114.75">
      <c r="A1689" s="495">
        <v>17</v>
      </c>
      <c r="B1689" s="344" t="s">
        <v>2611</v>
      </c>
      <c r="C1689" s="1935" t="s">
        <v>66</v>
      </c>
      <c r="D1689" s="1236" t="s">
        <v>2558</v>
      </c>
      <c r="E1689" s="1236" t="s">
        <v>107</v>
      </c>
      <c r="F1689" s="1236" t="s">
        <v>66</v>
      </c>
      <c r="G1689" s="1236" t="s">
        <v>376</v>
      </c>
      <c r="H1689" s="1236"/>
      <c r="I1689" s="383" t="s">
        <v>2661</v>
      </c>
      <c r="J1689" s="1471" t="s">
        <v>2662</v>
      </c>
      <c r="K1689" s="633">
        <v>450</v>
      </c>
      <c r="L1689" s="2125">
        <f>SUM(L1690:L1694)</f>
        <v>5490000000</v>
      </c>
      <c r="M1689" s="633">
        <f>75+75</f>
        <v>150</v>
      </c>
      <c r="N1689" s="2125">
        <f>SUM(N1690:N1694)</f>
        <v>1374303662</v>
      </c>
      <c r="O1689" s="633">
        <v>75</v>
      </c>
      <c r="P1689" s="2123">
        <f>SUM(P1690:P1694)</f>
        <v>312333192.25</v>
      </c>
      <c r="Q1689" s="633">
        <v>50</v>
      </c>
      <c r="R1689" s="2123">
        <f>SUM(R1690:R1694)</f>
        <v>79602700</v>
      </c>
      <c r="S1689" s="616"/>
      <c r="T1689" s="616"/>
      <c r="U1689" s="616"/>
      <c r="V1689" s="616"/>
      <c r="W1689" s="616"/>
      <c r="X1689" s="616"/>
      <c r="Y1689" s="633">
        <f t="shared" ref="Y1689:Z1694" si="482">Q1689</f>
        <v>50</v>
      </c>
      <c r="Z1689" s="1944">
        <f t="shared" si="482"/>
        <v>79602700</v>
      </c>
      <c r="AA1689" s="2129">
        <f t="shared" ref="AA1689:AA1694" si="483">M1689+Q1689</f>
        <v>200</v>
      </c>
      <c r="AB1689" s="1944">
        <f t="shared" ref="AB1689:AB1703" si="484">N1689+Z1689</f>
        <v>1453906362</v>
      </c>
      <c r="AC1689" s="2126">
        <f t="shared" ref="AC1689:AD1703" si="485">AA1689/K1689*100</f>
        <v>44.444444444444443</v>
      </c>
      <c r="AD1689" s="389">
        <f t="shared" si="485"/>
        <v>26.482811693989071</v>
      </c>
      <c r="AE1689" s="616"/>
    </row>
    <row r="1690" spans="1:31" ht="51">
      <c r="A1690" s="497"/>
      <c r="B1690" s="383"/>
      <c r="C1690" s="1935" t="s">
        <v>66</v>
      </c>
      <c r="D1690" s="1236" t="s">
        <v>2558</v>
      </c>
      <c r="E1690" s="1236" t="s">
        <v>107</v>
      </c>
      <c r="F1690" s="1236" t="s">
        <v>66</v>
      </c>
      <c r="G1690" s="1236" t="s">
        <v>376</v>
      </c>
      <c r="H1690" s="1236" t="s">
        <v>376</v>
      </c>
      <c r="I1690" s="2003" t="s">
        <v>2663</v>
      </c>
      <c r="J1690" s="2004" t="s">
        <v>2664</v>
      </c>
      <c r="K1690" s="1938">
        <f>12*6</f>
        <v>72</v>
      </c>
      <c r="L1690" s="1947">
        <v>900000000</v>
      </c>
      <c r="M1690" s="1939">
        <v>24</v>
      </c>
      <c r="N1690" s="1940">
        <f>115713381+134311484</f>
        <v>250024865</v>
      </c>
      <c r="O1690" s="1938">
        <v>12</v>
      </c>
      <c r="P1690" s="1971">
        <v>59829797.75</v>
      </c>
      <c r="Q1690" s="1939">
        <v>3</v>
      </c>
      <c r="R1690" s="1940">
        <v>15991800</v>
      </c>
      <c r="S1690" s="64"/>
      <c r="T1690" s="64"/>
      <c r="U1690" s="64"/>
      <c r="V1690" s="64"/>
      <c r="W1690" s="64"/>
      <c r="X1690" s="64"/>
      <c r="Y1690" s="1939">
        <f t="shared" si="482"/>
        <v>3</v>
      </c>
      <c r="Z1690" s="1942">
        <f t="shared" si="482"/>
        <v>15991800</v>
      </c>
      <c r="AA1690" s="1939">
        <f t="shared" si="483"/>
        <v>27</v>
      </c>
      <c r="AB1690" s="1944">
        <f t="shared" si="484"/>
        <v>266016665</v>
      </c>
      <c r="AC1690" s="1945">
        <f t="shared" si="485"/>
        <v>37.5</v>
      </c>
      <c r="AD1690" s="1946">
        <f t="shared" si="485"/>
        <v>29.557407222222221</v>
      </c>
      <c r="AE1690" s="64" t="s">
        <v>2665</v>
      </c>
    </row>
    <row r="1691" spans="1:31" ht="76.5">
      <c r="A1691" s="497"/>
      <c r="B1691" s="383"/>
      <c r="C1691" s="1935" t="s">
        <v>66</v>
      </c>
      <c r="D1691" s="1236" t="s">
        <v>2558</v>
      </c>
      <c r="E1691" s="1236" t="s">
        <v>107</v>
      </c>
      <c r="F1691" s="1236" t="s">
        <v>66</v>
      </c>
      <c r="G1691" s="1236" t="s">
        <v>376</v>
      </c>
      <c r="H1691" s="1236" t="s">
        <v>363</v>
      </c>
      <c r="I1691" s="741" t="s">
        <v>2666</v>
      </c>
      <c r="J1691" s="1485" t="s">
        <v>2667</v>
      </c>
      <c r="K1691" s="1938">
        <v>24</v>
      </c>
      <c r="L1691" s="1947">
        <v>730000000</v>
      </c>
      <c r="M1691" s="1939">
        <v>8</v>
      </c>
      <c r="N1691" s="1940">
        <f>62549618+54806400</f>
        <v>117356018</v>
      </c>
      <c r="O1691" s="1938">
        <v>4</v>
      </c>
      <c r="P1691" s="1971">
        <v>72959900</v>
      </c>
      <c r="Q1691" s="1939">
        <v>1</v>
      </c>
      <c r="R1691" s="1940">
        <v>9834700</v>
      </c>
      <c r="S1691" s="64"/>
      <c r="T1691" s="64"/>
      <c r="U1691" s="64"/>
      <c r="V1691" s="64"/>
      <c r="W1691" s="64"/>
      <c r="X1691" s="64"/>
      <c r="Y1691" s="1939">
        <f t="shared" si="482"/>
        <v>1</v>
      </c>
      <c r="Z1691" s="1942">
        <f t="shared" si="482"/>
        <v>9834700</v>
      </c>
      <c r="AA1691" s="1939">
        <f t="shared" si="483"/>
        <v>9</v>
      </c>
      <c r="AB1691" s="1944">
        <f t="shared" si="484"/>
        <v>127190718</v>
      </c>
      <c r="AC1691" s="1945">
        <f t="shared" si="485"/>
        <v>37.5</v>
      </c>
      <c r="AD1691" s="1946">
        <f t="shared" si="485"/>
        <v>17.42338602739726</v>
      </c>
      <c r="AE1691" s="754" t="s">
        <v>2668</v>
      </c>
    </row>
    <row r="1692" spans="1:31" ht="25.5">
      <c r="A1692" s="497"/>
      <c r="B1692" s="383"/>
      <c r="C1692" s="1935" t="s">
        <v>66</v>
      </c>
      <c r="D1692" s="1236" t="s">
        <v>2558</v>
      </c>
      <c r="E1692" s="1236" t="s">
        <v>107</v>
      </c>
      <c r="F1692" s="1236" t="s">
        <v>66</v>
      </c>
      <c r="G1692" s="1236" t="s">
        <v>376</v>
      </c>
      <c r="H1692" s="1236" t="s">
        <v>178</v>
      </c>
      <c r="I1692" s="2003" t="s">
        <v>2669</v>
      </c>
      <c r="J1692" s="1958" t="s">
        <v>2670</v>
      </c>
      <c r="K1692" s="1952">
        <v>72</v>
      </c>
      <c r="L1692" s="1947">
        <v>2060000000</v>
      </c>
      <c r="M1692" s="1939">
        <v>24</v>
      </c>
      <c r="N1692" s="1940">
        <f>260880650+234037920</f>
        <v>494918570</v>
      </c>
      <c r="O1692" s="1952">
        <v>12</v>
      </c>
      <c r="P1692" s="1971">
        <v>59839474.5</v>
      </c>
      <c r="Q1692" s="1939">
        <v>3</v>
      </c>
      <c r="R1692" s="1940">
        <v>30398000</v>
      </c>
      <c r="S1692" s="64"/>
      <c r="T1692" s="64"/>
      <c r="U1692" s="64"/>
      <c r="V1692" s="64"/>
      <c r="W1692" s="64"/>
      <c r="X1692" s="64"/>
      <c r="Y1692" s="1939">
        <f t="shared" si="482"/>
        <v>3</v>
      </c>
      <c r="Z1692" s="1942">
        <f t="shared" si="482"/>
        <v>30398000</v>
      </c>
      <c r="AA1692" s="1939">
        <f t="shared" si="483"/>
        <v>27</v>
      </c>
      <c r="AB1692" s="1944">
        <f t="shared" si="484"/>
        <v>525316570</v>
      </c>
      <c r="AC1692" s="1945">
        <f t="shared" si="485"/>
        <v>37.5</v>
      </c>
      <c r="AD1692" s="1946">
        <f t="shared" si="485"/>
        <v>25.500804368932041</v>
      </c>
      <c r="AE1692" s="64" t="s">
        <v>2671</v>
      </c>
    </row>
    <row r="1693" spans="1:31" ht="38.25">
      <c r="A1693" s="497"/>
      <c r="B1693" s="383"/>
      <c r="C1693" s="1935" t="s">
        <v>66</v>
      </c>
      <c r="D1693" s="1236" t="s">
        <v>2558</v>
      </c>
      <c r="E1693" s="1236" t="s">
        <v>107</v>
      </c>
      <c r="F1693" s="1236" t="s">
        <v>66</v>
      </c>
      <c r="G1693" s="1236" t="s">
        <v>376</v>
      </c>
      <c r="H1693" s="1236" t="s">
        <v>368</v>
      </c>
      <c r="I1693" s="2003" t="s">
        <v>2672</v>
      </c>
      <c r="J1693" s="2004" t="s">
        <v>2673</v>
      </c>
      <c r="K1693" s="1938">
        <v>72</v>
      </c>
      <c r="L1693" s="1947">
        <v>900000000</v>
      </c>
      <c r="M1693" s="1939">
        <v>24</v>
      </c>
      <c r="N1693" s="1940">
        <f>111455774+137666254</f>
        <v>249122028</v>
      </c>
      <c r="O1693" s="1938">
        <v>12</v>
      </c>
      <c r="P1693" s="1971">
        <v>59855384</v>
      </c>
      <c r="Q1693" s="1939">
        <v>3</v>
      </c>
      <c r="R1693" s="1940">
        <v>2964200</v>
      </c>
      <c r="S1693" s="64"/>
      <c r="T1693" s="64"/>
      <c r="U1693" s="64"/>
      <c r="V1693" s="64"/>
      <c r="W1693" s="64"/>
      <c r="X1693" s="64"/>
      <c r="Y1693" s="1939">
        <f t="shared" si="482"/>
        <v>3</v>
      </c>
      <c r="Z1693" s="1942">
        <f t="shared" si="482"/>
        <v>2964200</v>
      </c>
      <c r="AA1693" s="1939">
        <f t="shared" si="483"/>
        <v>27</v>
      </c>
      <c r="AB1693" s="1944">
        <f t="shared" si="484"/>
        <v>252086228</v>
      </c>
      <c r="AC1693" s="1945">
        <f t="shared" si="485"/>
        <v>37.5</v>
      </c>
      <c r="AD1693" s="1946">
        <f t="shared" si="485"/>
        <v>28.009580888888891</v>
      </c>
      <c r="AE1693" s="64" t="s">
        <v>2674</v>
      </c>
    </row>
    <row r="1694" spans="1:31" ht="63.75">
      <c r="A1694" s="497"/>
      <c r="B1694" s="383"/>
      <c r="C1694" s="1935" t="s">
        <v>66</v>
      </c>
      <c r="D1694" s="1236" t="s">
        <v>2558</v>
      </c>
      <c r="E1694" s="1236" t="s">
        <v>107</v>
      </c>
      <c r="F1694" s="1236" t="s">
        <v>66</v>
      </c>
      <c r="G1694" s="1236" t="s">
        <v>376</v>
      </c>
      <c r="H1694" s="1236" t="s">
        <v>373</v>
      </c>
      <c r="I1694" s="2003" t="s">
        <v>2675</v>
      </c>
      <c r="J1694" s="2004" t="s">
        <v>2676</v>
      </c>
      <c r="K1694" s="1938">
        <v>72</v>
      </c>
      <c r="L1694" s="1938">
        <v>900000000</v>
      </c>
      <c r="M1694" s="1939">
        <v>24</v>
      </c>
      <c r="N1694" s="1940">
        <f>125581620+137300561</f>
        <v>262882181</v>
      </c>
      <c r="O1694" s="1938">
        <v>12</v>
      </c>
      <c r="P1694" s="1971">
        <v>59848636</v>
      </c>
      <c r="Q1694" s="1939">
        <v>3</v>
      </c>
      <c r="R1694" s="1940">
        <v>20414000</v>
      </c>
      <c r="S1694" s="64"/>
      <c r="T1694" s="64"/>
      <c r="U1694" s="64"/>
      <c r="V1694" s="64"/>
      <c r="W1694" s="64"/>
      <c r="X1694" s="64"/>
      <c r="Y1694" s="1939">
        <f t="shared" si="482"/>
        <v>3</v>
      </c>
      <c r="Z1694" s="1942">
        <f t="shared" si="482"/>
        <v>20414000</v>
      </c>
      <c r="AA1694" s="1939">
        <f t="shared" si="483"/>
        <v>27</v>
      </c>
      <c r="AB1694" s="1944">
        <f t="shared" si="484"/>
        <v>283296181</v>
      </c>
      <c r="AC1694" s="1945">
        <f t="shared" si="485"/>
        <v>37.5</v>
      </c>
      <c r="AD1694" s="1946">
        <f t="shared" si="485"/>
        <v>31.477353444444446</v>
      </c>
      <c r="AE1694" s="64" t="s">
        <v>2677</v>
      </c>
    </row>
    <row r="1695" spans="1:31" s="63" customFormat="1" ht="63.75">
      <c r="A1695" s="495">
        <v>18</v>
      </c>
      <c r="B1695" s="344" t="s">
        <v>2678</v>
      </c>
      <c r="C1695" s="1935" t="s">
        <v>66</v>
      </c>
      <c r="D1695" s="1236" t="s">
        <v>2558</v>
      </c>
      <c r="E1695" s="1236" t="s">
        <v>107</v>
      </c>
      <c r="F1695" s="1236" t="s">
        <v>66</v>
      </c>
      <c r="G1695" s="1236" t="s">
        <v>163</v>
      </c>
      <c r="H1695" s="1236"/>
      <c r="I1695" s="2134" t="s">
        <v>2679</v>
      </c>
      <c r="J1695" s="1471" t="s">
        <v>2680</v>
      </c>
      <c r="K1695" s="2131">
        <v>564</v>
      </c>
      <c r="L1695" s="2125">
        <f>L1697+L1698+L1699+L1700+L1701+L1702+L1703</f>
        <v>4990593573</v>
      </c>
      <c r="M1695" s="633">
        <f>92+92</f>
        <v>184</v>
      </c>
      <c r="N1695" s="2125">
        <f>N1697+N1698+N1699+N1700+N1701+N1702+N1703</f>
        <v>659265875</v>
      </c>
      <c r="O1695" s="633">
        <v>95</v>
      </c>
      <c r="P1695" s="2125">
        <f>P1697+P1698+P1699+P1700+P1701+P1702+P1703</f>
        <v>670922559.25</v>
      </c>
      <c r="Q1695" s="633">
        <v>35</v>
      </c>
      <c r="R1695" s="2125">
        <f>R1697+R1698+R1699+R1700+R1701+R1702+R1703</f>
        <v>45773100</v>
      </c>
      <c r="S1695" s="616"/>
      <c r="T1695" s="616"/>
      <c r="U1695" s="616"/>
      <c r="V1695" s="616"/>
      <c r="W1695" s="616"/>
      <c r="X1695" s="616"/>
      <c r="Y1695" s="633">
        <f>Q1695</f>
        <v>35</v>
      </c>
      <c r="Z1695" s="2125">
        <f>R1695</f>
        <v>45773100</v>
      </c>
      <c r="AA1695" s="633">
        <f>M1695+Q1695</f>
        <v>219</v>
      </c>
      <c r="AB1695" s="2125">
        <f t="shared" si="484"/>
        <v>705038975</v>
      </c>
      <c r="AC1695" s="2132">
        <f t="shared" si="485"/>
        <v>38.829787234042549</v>
      </c>
      <c r="AD1695" s="493">
        <f t="shared" si="485"/>
        <v>14.127357090635199</v>
      </c>
      <c r="AE1695" s="616"/>
    </row>
    <row r="1696" spans="1:31" s="63" customFormat="1" ht="63.75">
      <c r="A1696" s="497"/>
      <c r="B1696" s="383"/>
      <c r="C1696" s="1236"/>
      <c r="D1696" s="1236"/>
      <c r="E1696" s="1236"/>
      <c r="F1696" s="1236"/>
      <c r="G1696" s="1236"/>
      <c r="H1696" s="1236"/>
      <c r="I1696" s="2134"/>
      <c r="J1696" s="1471" t="s">
        <v>2681</v>
      </c>
      <c r="K1696" s="2131">
        <v>195</v>
      </c>
      <c r="L1696" s="616"/>
      <c r="M1696" s="633">
        <v>45</v>
      </c>
      <c r="N1696" s="616"/>
      <c r="O1696" s="633">
        <v>35</v>
      </c>
      <c r="P1696" s="2125"/>
      <c r="Q1696" s="616">
        <v>35</v>
      </c>
      <c r="R1696" s="2125"/>
      <c r="S1696" s="616"/>
      <c r="T1696" s="616"/>
      <c r="U1696" s="616"/>
      <c r="V1696" s="616"/>
      <c r="W1696" s="616"/>
      <c r="X1696" s="616"/>
      <c r="Y1696" s="633">
        <f t="shared" ref="Y1696:Z1703" si="486">Q1696</f>
        <v>35</v>
      </c>
      <c r="Z1696" s="616"/>
      <c r="AA1696" s="633">
        <f>M1696+Q1696</f>
        <v>80</v>
      </c>
      <c r="AB1696" s="1944">
        <f t="shared" si="484"/>
        <v>0</v>
      </c>
      <c r="AC1696" s="2132">
        <f t="shared" si="485"/>
        <v>41.025641025641022</v>
      </c>
      <c r="AD1696" s="493"/>
      <c r="AE1696" s="616"/>
    </row>
    <row r="1697" spans="1:31" ht="63.75">
      <c r="A1697" s="497"/>
      <c r="B1697" s="383"/>
      <c r="C1697" s="1935" t="s">
        <v>66</v>
      </c>
      <c r="D1697" s="1236" t="s">
        <v>2558</v>
      </c>
      <c r="E1697" s="1236" t="s">
        <v>107</v>
      </c>
      <c r="F1697" s="1236" t="s">
        <v>66</v>
      </c>
      <c r="G1697" s="1236" t="s">
        <v>163</v>
      </c>
      <c r="H1697" s="1236" t="s">
        <v>65</v>
      </c>
      <c r="I1697" s="741" t="s">
        <v>2682</v>
      </c>
      <c r="J1697" s="1485" t="s">
        <v>2683</v>
      </c>
      <c r="K1697" s="1952">
        <f>150*4+12</f>
        <v>612</v>
      </c>
      <c r="L1697" s="1947">
        <v>685000000</v>
      </c>
      <c r="M1697" s="1939">
        <f>12+150</f>
        <v>162</v>
      </c>
      <c r="N1697" s="1940">
        <v>79120958</v>
      </c>
      <c r="O1697" s="1952">
        <v>150</v>
      </c>
      <c r="P1697" s="1940">
        <v>180225444.5</v>
      </c>
      <c r="Q1697" s="1939">
        <v>80</v>
      </c>
      <c r="R1697" s="1940">
        <v>5660100</v>
      </c>
      <c r="S1697" s="64"/>
      <c r="T1697" s="64"/>
      <c r="U1697" s="64"/>
      <c r="V1697" s="64"/>
      <c r="W1697" s="64"/>
      <c r="X1697" s="64"/>
      <c r="Y1697" s="1939">
        <f t="shared" si="486"/>
        <v>80</v>
      </c>
      <c r="Z1697" s="1942">
        <f t="shared" si="486"/>
        <v>5660100</v>
      </c>
      <c r="AA1697" s="1939">
        <f t="shared" ref="AA1697:AA1703" si="487">M1697+Q1697</f>
        <v>242</v>
      </c>
      <c r="AB1697" s="1944">
        <f t="shared" si="484"/>
        <v>84781058</v>
      </c>
      <c r="AC1697" s="1945">
        <f t="shared" si="485"/>
        <v>39.542483660130721</v>
      </c>
      <c r="AD1697" s="1946">
        <f t="shared" si="485"/>
        <v>12.376796788321167</v>
      </c>
      <c r="AE1697" s="754" t="s">
        <v>2684</v>
      </c>
    </row>
    <row r="1698" spans="1:31" ht="51">
      <c r="A1698" s="497"/>
      <c r="B1698" s="383"/>
      <c r="C1698" s="1935" t="s">
        <v>66</v>
      </c>
      <c r="D1698" s="1236" t="s">
        <v>2558</v>
      </c>
      <c r="E1698" s="1236" t="s">
        <v>107</v>
      </c>
      <c r="F1698" s="1236" t="s">
        <v>66</v>
      </c>
      <c r="G1698" s="1236" t="s">
        <v>163</v>
      </c>
      <c r="H1698" s="1236" t="s">
        <v>95</v>
      </c>
      <c r="I1698" s="1936" t="s">
        <v>2685</v>
      </c>
      <c r="J1698" s="741" t="s">
        <v>2686</v>
      </c>
      <c r="K1698" s="1938">
        <v>144</v>
      </c>
      <c r="L1698" s="1947">
        <v>439750000</v>
      </c>
      <c r="M1698" s="1939">
        <v>24</v>
      </c>
      <c r="N1698" s="1940">
        <f>26230000+28641800</f>
        <v>54871800</v>
      </c>
      <c r="O1698" s="1938">
        <v>24</v>
      </c>
      <c r="P1698" s="1940">
        <v>16348950</v>
      </c>
      <c r="Q1698" s="1939">
        <v>1</v>
      </c>
      <c r="R1698" s="1940">
        <v>1012000</v>
      </c>
      <c r="S1698" s="64"/>
      <c r="T1698" s="64"/>
      <c r="U1698" s="64"/>
      <c r="V1698" s="64"/>
      <c r="W1698" s="64"/>
      <c r="X1698" s="64"/>
      <c r="Y1698" s="1939">
        <f t="shared" si="486"/>
        <v>1</v>
      </c>
      <c r="Z1698" s="1942">
        <f t="shared" si="486"/>
        <v>1012000</v>
      </c>
      <c r="AA1698" s="1939">
        <f t="shared" si="487"/>
        <v>25</v>
      </c>
      <c r="AB1698" s="1944">
        <f t="shared" si="484"/>
        <v>55883800</v>
      </c>
      <c r="AC1698" s="1945">
        <f t="shared" si="485"/>
        <v>17.361111111111111</v>
      </c>
      <c r="AD1698" s="1946">
        <f t="shared" si="485"/>
        <v>12.708084138715178</v>
      </c>
      <c r="AE1698" s="754" t="s">
        <v>2687</v>
      </c>
    </row>
    <row r="1699" spans="1:31" ht="89.25">
      <c r="A1699" s="497"/>
      <c r="B1699" s="383"/>
      <c r="C1699" s="1935" t="s">
        <v>66</v>
      </c>
      <c r="D1699" s="1236" t="s">
        <v>2558</v>
      </c>
      <c r="E1699" s="1236" t="s">
        <v>107</v>
      </c>
      <c r="F1699" s="1236" t="s">
        <v>66</v>
      </c>
      <c r="G1699" s="1236" t="s">
        <v>163</v>
      </c>
      <c r="H1699" s="1236" t="s">
        <v>198</v>
      </c>
      <c r="I1699" s="741" t="s">
        <v>2688</v>
      </c>
      <c r="J1699" s="2005" t="s">
        <v>2689</v>
      </c>
      <c r="K1699" s="1938">
        <f>45*3</f>
        <v>135</v>
      </c>
      <c r="L1699" s="1947">
        <v>745843573</v>
      </c>
      <c r="M1699" s="1939">
        <f>45*2</f>
        <v>90</v>
      </c>
      <c r="N1699" s="1940">
        <f>219259400+195485430</f>
        <v>414744830</v>
      </c>
      <c r="O1699" s="2006">
        <v>45</v>
      </c>
      <c r="P1699" s="1940">
        <v>182254697.75</v>
      </c>
      <c r="Q1699" s="1939">
        <v>45</v>
      </c>
      <c r="R1699" s="1940">
        <v>13693000</v>
      </c>
      <c r="S1699" s="64"/>
      <c r="T1699" s="64"/>
      <c r="U1699" s="64"/>
      <c r="V1699" s="64"/>
      <c r="W1699" s="64"/>
      <c r="X1699" s="64"/>
      <c r="Y1699" s="1939">
        <f t="shared" si="486"/>
        <v>45</v>
      </c>
      <c r="Z1699" s="1942">
        <f t="shared" si="486"/>
        <v>13693000</v>
      </c>
      <c r="AA1699" s="1939">
        <f t="shared" si="487"/>
        <v>135</v>
      </c>
      <c r="AB1699" s="1944">
        <f t="shared" si="484"/>
        <v>428437830</v>
      </c>
      <c r="AC1699" s="1939">
        <f t="shared" si="485"/>
        <v>100</v>
      </c>
      <c r="AD1699" s="2041">
        <f t="shared" si="485"/>
        <v>57.443389674419031</v>
      </c>
      <c r="AE1699" s="754" t="s">
        <v>2687</v>
      </c>
    </row>
    <row r="1700" spans="1:31" ht="25.5">
      <c r="A1700" s="497"/>
      <c r="B1700" s="383"/>
      <c r="C1700" s="1935" t="s">
        <v>66</v>
      </c>
      <c r="D1700" s="1236" t="s">
        <v>2558</v>
      </c>
      <c r="E1700" s="1236" t="s">
        <v>107</v>
      </c>
      <c r="F1700" s="1236" t="s">
        <v>66</v>
      </c>
      <c r="G1700" s="1236" t="s">
        <v>163</v>
      </c>
      <c r="H1700" s="1236" t="s">
        <v>93</v>
      </c>
      <c r="I1700" s="754" t="s">
        <v>2690</v>
      </c>
      <c r="J1700" s="1485" t="s">
        <v>2691</v>
      </c>
      <c r="K1700" s="1952">
        <v>725</v>
      </c>
      <c r="L1700" s="1947">
        <v>1025000000</v>
      </c>
      <c r="M1700" s="1939"/>
      <c r="N1700" s="64"/>
      <c r="O1700" s="1952">
        <v>150</v>
      </c>
      <c r="P1700" s="1940">
        <v>118175411</v>
      </c>
      <c r="Q1700" s="1939">
        <v>80</v>
      </c>
      <c r="R1700" s="1940">
        <v>18162600</v>
      </c>
      <c r="S1700" s="64"/>
      <c r="T1700" s="64"/>
      <c r="U1700" s="64"/>
      <c r="V1700" s="64"/>
      <c r="W1700" s="64"/>
      <c r="X1700" s="64"/>
      <c r="Y1700" s="1939">
        <f t="shared" si="486"/>
        <v>80</v>
      </c>
      <c r="Z1700" s="1942">
        <f t="shared" si="486"/>
        <v>18162600</v>
      </c>
      <c r="AA1700" s="1939">
        <f t="shared" si="487"/>
        <v>80</v>
      </c>
      <c r="AB1700" s="1944">
        <f t="shared" si="484"/>
        <v>18162600</v>
      </c>
      <c r="AC1700" s="1939">
        <f t="shared" si="485"/>
        <v>11.03448275862069</v>
      </c>
      <c r="AD1700" s="2041">
        <f t="shared" si="485"/>
        <v>1.7719609756097561</v>
      </c>
      <c r="AE1700" s="754" t="s">
        <v>2684</v>
      </c>
    </row>
    <row r="1701" spans="1:31" ht="51">
      <c r="A1701" s="497"/>
      <c r="B1701" s="383"/>
      <c r="C1701" s="1935" t="s">
        <v>66</v>
      </c>
      <c r="D1701" s="1236" t="s">
        <v>2558</v>
      </c>
      <c r="E1701" s="1236" t="s">
        <v>107</v>
      </c>
      <c r="F1701" s="1236" t="s">
        <v>66</v>
      </c>
      <c r="G1701" s="1236" t="s">
        <v>163</v>
      </c>
      <c r="H1701" s="1236" t="s">
        <v>417</v>
      </c>
      <c r="I1701" s="754" t="s">
        <v>2692</v>
      </c>
      <c r="J1701" s="1485" t="s">
        <v>2693</v>
      </c>
      <c r="K1701" s="1952">
        <v>4</v>
      </c>
      <c r="L1701" s="1947">
        <v>470000000</v>
      </c>
      <c r="M1701" s="1939"/>
      <c r="N1701" s="64"/>
      <c r="O1701" s="1952">
        <v>1</v>
      </c>
      <c r="P1701" s="1940">
        <v>50675521.5</v>
      </c>
      <c r="Q1701" s="1959"/>
      <c r="R1701" s="1940">
        <v>1267700</v>
      </c>
      <c r="S1701" s="64"/>
      <c r="T1701" s="64"/>
      <c r="U1701" s="64"/>
      <c r="V1701" s="64"/>
      <c r="W1701" s="64"/>
      <c r="X1701" s="64"/>
      <c r="Y1701" s="1959">
        <f t="shared" si="486"/>
        <v>0</v>
      </c>
      <c r="Z1701" s="1942">
        <f t="shared" si="486"/>
        <v>1267700</v>
      </c>
      <c r="AA1701" s="1939">
        <f t="shared" si="487"/>
        <v>0</v>
      </c>
      <c r="AB1701" s="1944">
        <f t="shared" si="484"/>
        <v>1267700</v>
      </c>
      <c r="AC1701" s="1939">
        <f t="shared" si="485"/>
        <v>0</v>
      </c>
      <c r="AD1701" s="2041">
        <f t="shared" si="485"/>
        <v>0.26972340425531915</v>
      </c>
      <c r="AE1701" s="754" t="s">
        <v>2684</v>
      </c>
    </row>
    <row r="1702" spans="1:31" ht="38.25">
      <c r="A1702" s="497"/>
      <c r="B1702" s="383"/>
      <c r="C1702" s="1935" t="s">
        <v>66</v>
      </c>
      <c r="D1702" s="1236" t="s">
        <v>2558</v>
      </c>
      <c r="E1702" s="1236" t="s">
        <v>107</v>
      </c>
      <c r="F1702" s="1236" t="s">
        <v>66</v>
      </c>
      <c r="G1702" s="1236" t="s">
        <v>163</v>
      </c>
      <c r="H1702" s="1236" t="s">
        <v>160</v>
      </c>
      <c r="I1702" s="754" t="s">
        <v>2694</v>
      </c>
      <c r="J1702" s="1485" t="s">
        <v>2695</v>
      </c>
      <c r="K1702" s="1938">
        <v>90</v>
      </c>
      <c r="L1702" s="1947">
        <v>805000000</v>
      </c>
      <c r="M1702" s="1939">
        <v>15</v>
      </c>
      <c r="N1702" s="1940">
        <v>110528287</v>
      </c>
      <c r="O1702" s="1938">
        <v>15</v>
      </c>
      <c r="P1702" s="1940">
        <v>83475552.5</v>
      </c>
      <c r="Q1702" s="1959"/>
      <c r="R1702" s="1940">
        <v>4250100</v>
      </c>
      <c r="S1702" s="64"/>
      <c r="T1702" s="64"/>
      <c r="U1702" s="64"/>
      <c r="V1702" s="64"/>
      <c r="W1702" s="64"/>
      <c r="X1702" s="64"/>
      <c r="Y1702" s="1959">
        <f t="shared" si="486"/>
        <v>0</v>
      </c>
      <c r="Z1702" s="1942">
        <f t="shared" si="486"/>
        <v>4250100</v>
      </c>
      <c r="AA1702" s="1939">
        <f t="shared" si="487"/>
        <v>15</v>
      </c>
      <c r="AB1702" s="1944">
        <f t="shared" si="484"/>
        <v>114778387</v>
      </c>
      <c r="AC1702" s="1939">
        <f t="shared" si="485"/>
        <v>16.666666666666664</v>
      </c>
      <c r="AD1702" s="2041">
        <f t="shared" si="485"/>
        <v>14.258184720496894</v>
      </c>
      <c r="AE1702" s="754" t="s">
        <v>2684</v>
      </c>
    </row>
    <row r="1703" spans="1:31" ht="51">
      <c r="A1703" s="497"/>
      <c r="B1703" s="383"/>
      <c r="C1703" s="1935" t="s">
        <v>66</v>
      </c>
      <c r="D1703" s="1236" t="s">
        <v>2558</v>
      </c>
      <c r="E1703" s="1236" t="s">
        <v>107</v>
      </c>
      <c r="F1703" s="1236" t="s">
        <v>66</v>
      </c>
      <c r="G1703" s="1236" t="s">
        <v>163</v>
      </c>
      <c r="H1703" s="1236" t="s">
        <v>391</v>
      </c>
      <c r="I1703" s="384" t="s">
        <v>2696</v>
      </c>
      <c r="J1703" s="1485" t="s">
        <v>2697</v>
      </c>
      <c r="K1703" s="1952">
        <v>9</v>
      </c>
      <c r="L1703" s="1947">
        <v>820000000</v>
      </c>
      <c r="M1703" s="1939">
        <v>0</v>
      </c>
      <c r="N1703" s="64"/>
      <c r="O1703" s="1952">
        <v>1</v>
      </c>
      <c r="P1703" s="1940">
        <v>39766982</v>
      </c>
      <c r="Q1703" s="1959"/>
      <c r="R1703" s="1940">
        <v>1727600</v>
      </c>
      <c r="S1703" s="64"/>
      <c r="T1703" s="64"/>
      <c r="U1703" s="64"/>
      <c r="V1703" s="64"/>
      <c r="W1703" s="64"/>
      <c r="X1703" s="64"/>
      <c r="Y1703" s="1959">
        <f t="shared" si="486"/>
        <v>0</v>
      </c>
      <c r="Z1703" s="1942">
        <f t="shared" si="486"/>
        <v>1727600</v>
      </c>
      <c r="AA1703" s="1939">
        <f t="shared" si="487"/>
        <v>0</v>
      </c>
      <c r="AB1703" s="1944">
        <f t="shared" si="484"/>
        <v>1727600</v>
      </c>
      <c r="AC1703" s="1939">
        <f t="shared" si="485"/>
        <v>0</v>
      </c>
      <c r="AD1703" s="2041">
        <f t="shared" si="485"/>
        <v>0.21068292682926829</v>
      </c>
      <c r="AE1703" s="754" t="s">
        <v>2684</v>
      </c>
    </row>
    <row r="1704" spans="1:31">
      <c r="A1704" s="2601" t="s">
        <v>2532</v>
      </c>
      <c r="B1704" s="2602"/>
      <c r="C1704" s="2602"/>
      <c r="D1704" s="2602"/>
      <c r="E1704" s="2602"/>
      <c r="F1704" s="2602"/>
      <c r="G1704" s="2602"/>
      <c r="H1704" s="2602"/>
      <c r="I1704" s="2602"/>
      <c r="J1704" s="2602"/>
      <c r="K1704" s="2602"/>
      <c r="L1704" s="2602"/>
      <c r="M1704" s="2602"/>
      <c r="N1704" s="2602"/>
      <c r="O1704" s="2602"/>
      <c r="P1704" s="2602"/>
      <c r="Q1704" s="2602"/>
      <c r="R1704" s="2602"/>
      <c r="S1704" s="2602"/>
      <c r="T1704" s="2602"/>
      <c r="U1704" s="2602"/>
      <c r="V1704" s="2602"/>
      <c r="W1704" s="2602"/>
      <c r="X1704" s="2602"/>
      <c r="Y1704" s="2602"/>
      <c r="Z1704" s="2602"/>
      <c r="AA1704" s="2602"/>
      <c r="AB1704" s="2603"/>
      <c r="AC1704" s="2031">
        <f>SUM(AC1697:AC1703)/7</f>
        <v>26.372106313789885</v>
      </c>
      <c r="AD1704" s="2031">
        <f>SUM(AD1697:AD1703)/7</f>
        <v>14.148403232663801</v>
      </c>
      <c r="AE1704" s="64"/>
    </row>
    <row r="1705" spans="1:31">
      <c r="A1705" s="2601" t="s">
        <v>2533</v>
      </c>
      <c r="B1705" s="2602"/>
      <c r="C1705" s="2602"/>
      <c r="D1705" s="2602"/>
      <c r="E1705" s="2602"/>
      <c r="F1705" s="2602"/>
      <c r="G1705" s="2602"/>
      <c r="H1705" s="2602"/>
      <c r="I1705" s="2602"/>
      <c r="J1705" s="2602"/>
      <c r="K1705" s="2602"/>
      <c r="L1705" s="2602"/>
      <c r="M1705" s="2602"/>
      <c r="N1705" s="2602"/>
      <c r="O1705" s="2602"/>
      <c r="P1705" s="2602"/>
      <c r="Q1705" s="2602"/>
      <c r="R1705" s="2602"/>
      <c r="S1705" s="2602"/>
      <c r="T1705" s="2602"/>
      <c r="U1705" s="2602"/>
      <c r="V1705" s="2602"/>
      <c r="W1705" s="2602"/>
      <c r="X1705" s="2602"/>
      <c r="Y1705" s="2602"/>
      <c r="Z1705" s="2602"/>
      <c r="AA1705" s="2602"/>
      <c r="AB1705" s="2603"/>
      <c r="AC1705" s="2026" t="s">
        <v>2534</v>
      </c>
      <c r="AD1705" s="2026" t="s">
        <v>2534</v>
      </c>
      <c r="AE1705" s="64"/>
    </row>
    <row r="1706" spans="1:31" s="63" customFormat="1" ht="114.75">
      <c r="A1706" s="495">
        <v>19</v>
      </c>
      <c r="B1706" s="344" t="s">
        <v>2611</v>
      </c>
      <c r="C1706" s="1935" t="s">
        <v>65</v>
      </c>
      <c r="D1706" s="1236" t="s">
        <v>2558</v>
      </c>
      <c r="E1706" s="1236" t="s">
        <v>107</v>
      </c>
      <c r="F1706" s="1236" t="s">
        <v>66</v>
      </c>
      <c r="G1706" s="1236" t="s">
        <v>163</v>
      </c>
      <c r="H1706" s="1236"/>
      <c r="I1706" s="383" t="s">
        <v>2698</v>
      </c>
      <c r="J1706" s="1471" t="s">
        <v>2699</v>
      </c>
      <c r="K1706" s="2131">
        <v>270</v>
      </c>
      <c r="L1706" s="2120">
        <f>L1707+L1708</f>
        <v>356000000</v>
      </c>
      <c r="M1706" s="633">
        <f>85+90</f>
        <v>175</v>
      </c>
      <c r="N1706" s="2125">
        <f>N1707+N1708</f>
        <v>146372221</v>
      </c>
      <c r="O1706" s="2131">
        <v>95</v>
      </c>
      <c r="P1706" s="2135">
        <f>P1707+P1708</f>
        <v>196912500</v>
      </c>
      <c r="Q1706" s="633">
        <v>30</v>
      </c>
      <c r="R1706" s="2125">
        <f>R1708</f>
        <v>12343700</v>
      </c>
      <c r="S1706" s="616"/>
      <c r="T1706" s="616"/>
      <c r="U1706" s="616"/>
      <c r="V1706" s="616"/>
      <c r="W1706" s="616"/>
      <c r="X1706" s="616"/>
      <c r="Y1706" s="633">
        <f t="shared" ref="Y1706:Z1708" si="488">Q1706</f>
        <v>30</v>
      </c>
      <c r="Z1706" s="2125">
        <f t="shared" si="488"/>
        <v>12343700</v>
      </c>
      <c r="AA1706" s="633">
        <f>M1706+Q1706</f>
        <v>205</v>
      </c>
      <c r="AB1706" s="2125">
        <f>N1706+Z1706</f>
        <v>158715921</v>
      </c>
      <c r="AC1706" s="2129">
        <f t="shared" ref="AC1706:AC1708" si="489">AA1706/K1706*100</f>
        <v>75.925925925925924</v>
      </c>
      <c r="AD1706" s="2136">
        <f>AB1706/L1706*100</f>
        <v>44.583123876404493</v>
      </c>
      <c r="AE1706" s="616"/>
    </row>
    <row r="1707" spans="1:31" ht="25.5">
      <c r="A1707" s="497"/>
      <c r="B1707" s="383"/>
      <c r="C1707" s="1935" t="s">
        <v>65</v>
      </c>
      <c r="D1707" s="1236" t="s">
        <v>2558</v>
      </c>
      <c r="E1707" s="1236" t="s">
        <v>107</v>
      </c>
      <c r="F1707" s="1236" t="s">
        <v>66</v>
      </c>
      <c r="G1707" s="1236" t="s">
        <v>163</v>
      </c>
      <c r="H1707" s="1236" t="s">
        <v>165</v>
      </c>
      <c r="I1707" s="754" t="s">
        <v>2700</v>
      </c>
      <c r="J1707" s="1485" t="s">
        <v>2701</v>
      </c>
      <c r="K1707" s="64">
        <v>2</v>
      </c>
      <c r="L1707" s="1698">
        <v>281000000</v>
      </c>
      <c r="M1707" s="2007">
        <v>1</v>
      </c>
      <c r="N1707" s="1940">
        <v>146372221</v>
      </c>
      <c r="O1707" s="64">
        <v>1</v>
      </c>
      <c r="P1707" s="1971">
        <v>129271500</v>
      </c>
      <c r="Q1707" s="1959"/>
      <c r="R1707" s="64"/>
      <c r="S1707" s="64"/>
      <c r="T1707" s="64"/>
      <c r="U1707" s="64"/>
      <c r="V1707" s="64"/>
      <c r="W1707" s="64"/>
      <c r="X1707" s="64"/>
      <c r="Y1707" s="1959">
        <f t="shared" si="488"/>
        <v>0</v>
      </c>
      <c r="Z1707" s="1942">
        <f t="shared" si="488"/>
        <v>0</v>
      </c>
      <c r="AA1707" s="1939">
        <f>M1707+Q1707</f>
        <v>1</v>
      </c>
      <c r="AB1707" s="1944">
        <f>N1707+Z1707</f>
        <v>146372221</v>
      </c>
      <c r="AC1707" s="1939">
        <f t="shared" si="489"/>
        <v>50</v>
      </c>
      <c r="AD1707" s="2041">
        <f>AB1707/L1707*100</f>
        <v>52.089758362989322</v>
      </c>
      <c r="AE1707" s="64" t="s">
        <v>2616</v>
      </c>
    </row>
    <row r="1708" spans="1:31" ht="51">
      <c r="A1708" s="497"/>
      <c r="B1708" s="383"/>
      <c r="C1708" s="1935" t="s">
        <v>65</v>
      </c>
      <c r="D1708" s="1236" t="s">
        <v>2558</v>
      </c>
      <c r="E1708" s="1236" t="s">
        <v>107</v>
      </c>
      <c r="F1708" s="1236" t="s">
        <v>66</v>
      </c>
      <c r="G1708" s="1236" t="s">
        <v>163</v>
      </c>
      <c r="H1708" s="1236" t="s">
        <v>459</v>
      </c>
      <c r="I1708" s="754" t="s">
        <v>2702</v>
      </c>
      <c r="J1708" s="1485" t="s">
        <v>2703</v>
      </c>
      <c r="K1708" s="64">
        <v>4</v>
      </c>
      <c r="L1708" s="1698">
        <v>75000000</v>
      </c>
      <c r="M1708" s="2007"/>
      <c r="N1708" s="1940"/>
      <c r="O1708" s="1947">
        <v>4</v>
      </c>
      <c r="P1708" s="1971">
        <v>67641000</v>
      </c>
      <c r="Q1708" s="1939">
        <v>1</v>
      </c>
      <c r="R1708" s="1940">
        <v>12343700</v>
      </c>
      <c r="S1708" s="64"/>
      <c r="T1708" s="64"/>
      <c r="U1708" s="64"/>
      <c r="V1708" s="64"/>
      <c r="W1708" s="64"/>
      <c r="X1708" s="64"/>
      <c r="Y1708" s="1939">
        <f t="shared" si="488"/>
        <v>1</v>
      </c>
      <c r="Z1708" s="1942">
        <f t="shared" si="488"/>
        <v>12343700</v>
      </c>
      <c r="AA1708" s="1939">
        <f>M1708+Q1708</f>
        <v>1</v>
      </c>
      <c r="AB1708" s="1944">
        <f>N1708+Z1708</f>
        <v>12343700</v>
      </c>
      <c r="AC1708" s="1939">
        <f t="shared" si="489"/>
        <v>25</v>
      </c>
      <c r="AD1708" s="2041">
        <f>AB1708/L1708*100</f>
        <v>16.458266666666667</v>
      </c>
      <c r="AE1708" s="64" t="s">
        <v>2616</v>
      </c>
    </row>
    <row r="1709" spans="1:31">
      <c r="A1709" s="2601" t="s">
        <v>2532</v>
      </c>
      <c r="B1709" s="2602"/>
      <c r="C1709" s="2602"/>
      <c r="D1709" s="2602"/>
      <c r="E1709" s="2602"/>
      <c r="F1709" s="2602"/>
      <c r="G1709" s="2602"/>
      <c r="H1709" s="2602"/>
      <c r="I1709" s="2602"/>
      <c r="J1709" s="2602"/>
      <c r="K1709" s="2602"/>
      <c r="L1709" s="2602"/>
      <c r="M1709" s="2602"/>
      <c r="N1709" s="2602"/>
      <c r="O1709" s="2602"/>
      <c r="P1709" s="2602"/>
      <c r="Q1709" s="2602"/>
      <c r="R1709" s="2602"/>
      <c r="S1709" s="2602"/>
      <c r="T1709" s="2602"/>
      <c r="U1709" s="2602"/>
      <c r="V1709" s="2602"/>
      <c r="W1709" s="2602"/>
      <c r="X1709" s="2602"/>
      <c r="Y1709" s="2602"/>
      <c r="Z1709" s="2602"/>
      <c r="AA1709" s="2602"/>
      <c r="AB1709" s="2603"/>
      <c r="AC1709" s="2026">
        <f>SUM(AC1707:AC1708)/2</f>
        <v>37.5</v>
      </c>
      <c r="AD1709" s="2043">
        <f>SUM(AD1707:AD1708)/2</f>
        <v>34.274012514827994</v>
      </c>
      <c r="AE1709" s="64"/>
    </row>
    <row r="1710" spans="1:31">
      <c r="A1710" s="2601" t="s">
        <v>2533</v>
      </c>
      <c r="B1710" s="2602"/>
      <c r="C1710" s="2602"/>
      <c r="D1710" s="2602"/>
      <c r="E1710" s="2602"/>
      <c r="F1710" s="2602"/>
      <c r="G1710" s="2602"/>
      <c r="H1710" s="2602"/>
      <c r="I1710" s="2602"/>
      <c r="J1710" s="2602"/>
      <c r="K1710" s="2602"/>
      <c r="L1710" s="2602"/>
      <c r="M1710" s="2602"/>
      <c r="N1710" s="2602"/>
      <c r="O1710" s="2602"/>
      <c r="P1710" s="2602"/>
      <c r="Q1710" s="2602"/>
      <c r="R1710" s="2602"/>
      <c r="S1710" s="2602"/>
      <c r="T1710" s="2602"/>
      <c r="U1710" s="2602"/>
      <c r="V1710" s="2602"/>
      <c r="W1710" s="2602"/>
      <c r="X1710" s="2602"/>
      <c r="Y1710" s="2602"/>
      <c r="Z1710" s="2602"/>
      <c r="AA1710" s="2602"/>
      <c r="AB1710" s="2603"/>
      <c r="AC1710" s="2026" t="s">
        <v>2534</v>
      </c>
      <c r="AD1710" s="2026" t="s">
        <v>2534</v>
      </c>
      <c r="AE1710" s="64"/>
    </row>
    <row r="1711" spans="1:31" ht="51">
      <c r="A1711" s="1922">
        <v>20</v>
      </c>
      <c r="B1711" s="1923" t="s">
        <v>2510</v>
      </c>
      <c r="C1711" s="1924" t="s">
        <v>196</v>
      </c>
      <c r="D1711" s="1925" t="s">
        <v>2558</v>
      </c>
      <c r="E1711" s="1925" t="s">
        <v>107</v>
      </c>
      <c r="F1711" s="1925" t="s">
        <v>66</v>
      </c>
      <c r="G1711" s="1925" t="s">
        <v>448</v>
      </c>
      <c r="H1711" s="1925"/>
      <c r="I1711" s="1923" t="s">
        <v>2704</v>
      </c>
      <c r="J1711" s="1923" t="s">
        <v>2705</v>
      </c>
      <c r="K1711" s="1928">
        <v>520</v>
      </c>
      <c r="L1711" s="2008">
        <f>SUM(L1712:L1715)</f>
        <v>2135000000</v>
      </c>
      <c r="M1711" s="1930">
        <f>80+80</f>
        <v>160</v>
      </c>
      <c r="N1711" s="2008">
        <f>SUM(N1712:N1715)</f>
        <v>638560470</v>
      </c>
      <c r="O1711" s="1928">
        <v>85</v>
      </c>
      <c r="P1711" s="1931">
        <f>SUM(P1712:P1715)</f>
        <v>454986085.5</v>
      </c>
      <c r="Q1711" s="1932">
        <v>25</v>
      </c>
      <c r="R1711" s="1931">
        <f>SUM(R1712:R1715)</f>
        <v>85713060</v>
      </c>
      <c r="S1711" s="2025"/>
      <c r="T1711" s="2025"/>
      <c r="U1711" s="2025"/>
      <c r="V1711" s="2025"/>
      <c r="W1711" s="2025"/>
      <c r="X1711" s="2025"/>
      <c r="Y1711" s="1932">
        <f t="shared" ref="Y1711:Z1715" si="490">Q1711</f>
        <v>25</v>
      </c>
      <c r="Z1711" s="1982">
        <f t="shared" si="490"/>
        <v>85713060</v>
      </c>
      <c r="AA1711" s="1932">
        <f t="shared" ref="AA1711:AA1715" si="491">M1711+Q1711</f>
        <v>185</v>
      </c>
      <c r="AB1711" s="1982">
        <f>N1711+Z1711</f>
        <v>724273530</v>
      </c>
      <c r="AC1711" s="1989">
        <f t="shared" ref="AC1711:AC1715" si="492">AA1711/K1711*100</f>
        <v>35.57692307692308</v>
      </c>
      <c r="AD1711" s="2042">
        <f>AB1711/L1711*100</f>
        <v>33.923818735363</v>
      </c>
      <c r="AE1711" s="2025"/>
    </row>
    <row r="1712" spans="1:31" ht="38.25">
      <c r="A1712" s="497"/>
      <c r="B1712" s="383"/>
      <c r="C1712" s="1935" t="s">
        <v>196</v>
      </c>
      <c r="D1712" s="1236" t="s">
        <v>2558</v>
      </c>
      <c r="E1712" s="1236" t="s">
        <v>107</v>
      </c>
      <c r="F1712" s="1236" t="s">
        <v>66</v>
      </c>
      <c r="G1712" s="1236" t="s">
        <v>448</v>
      </c>
      <c r="H1712" s="1236" t="s">
        <v>469</v>
      </c>
      <c r="I1712" s="741" t="s">
        <v>2706</v>
      </c>
      <c r="J1712" s="741" t="s">
        <v>2707</v>
      </c>
      <c r="K1712" s="1952">
        <f>4*6</f>
        <v>24</v>
      </c>
      <c r="L1712" s="1947">
        <v>1505000000</v>
      </c>
      <c r="M1712" s="1939">
        <v>8</v>
      </c>
      <c r="N1712" s="1940">
        <f>171172972+149545050</f>
        <v>320718022</v>
      </c>
      <c r="O1712" s="1952">
        <v>4</v>
      </c>
      <c r="P1712" s="1971">
        <v>278703163.25</v>
      </c>
      <c r="Q1712" s="1939">
        <v>2</v>
      </c>
      <c r="R1712" s="1940">
        <v>79115400</v>
      </c>
      <c r="S1712" s="64"/>
      <c r="T1712" s="64"/>
      <c r="U1712" s="64"/>
      <c r="V1712" s="64"/>
      <c r="W1712" s="64"/>
      <c r="X1712" s="64"/>
      <c r="Y1712" s="1939">
        <f t="shared" si="490"/>
        <v>2</v>
      </c>
      <c r="Z1712" s="1942">
        <f t="shared" si="490"/>
        <v>79115400</v>
      </c>
      <c r="AA1712" s="1939">
        <f t="shared" si="491"/>
        <v>10</v>
      </c>
      <c r="AB1712" s="1944">
        <f>N1712+Z1712</f>
        <v>399833422</v>
      </c>
      <c r="AC1712" s="1939">
        <f t="shared" si="492"/>
        <v>41.666666666666671</v>
      </c>
      <c r="AD1712" s="2041">
        <f>AB1712/L1712*100</f>
        <v>26.567004784053154</v>
      </c>
      <c r="AE1712" s="64" t="s">
        <v>2516</v>
      </c>
    </row>
    <row r="1713" spans="1:31" ht="25.5">
      <c r="A1713" s="497"/>
      <c r="B1713" s="383"/>
      <c r="C1713" s="1935" t="s">
        <v>196</v>
      </c>
      <c r="D1713" s="1236" t="s">
        <v>2558</v>
      </c>
      <c r="E1713" s="1236" t="s">
        <v>107</v>
      </c>
      <c r="F1713" s="1236" t="s">
        <v>66</v>
      </c>
      <c r="G1713" s="1236" t="s">
        <v>448</v>
      </c>
      <c r="H1713" s="1236" t="s">
        <v>68</v>
      </c>
      <c r="I1713" s="741" t="s">
        <v>2708</v>
      </c>
      <c r="J1713" s="741" t="s">
        <v>2709</v>
      </c>
      <c r="K1713" s="1952">
        <v>3</v>
      </c>
      <c r="L1713" s="1947">
        <v>210000000</v>
      </c>
      <c r="M1713" s="1939">
        <v>2</v>
      </c>
      <c r="N1713" s="1940">
        <f>46586500+51413400</f>
        <v>97999900</v>
      </c>
      <c r="O1713" s="1952">
        <v>1</v>
      </c>
      <c r="P1713" s="1940">
        <v>89562974</v>
      </c>
      <c r="Q1713" s="1939">
        <v>1</v>
      </c>
      <c r="R1713" s="1940">
        <v>1118900</v>
      </c>
      <c r="S1713" s="64"/>
      <c r="T1713" s="64"/>
      <c r="U1713" s="64"/>
      <c r="V1713" s="64"/>
      <c r="W1713" s="64"/>
      <c r="X1713" s="64"/>
      <c r="Y1713" s="1939">
        <f t="shared" si="490"/>
        <v>1</v>
      </c>
      <c r="Z1713" s="1942">
        <f t="shared" si="490"/>
        <v>1118900</v>
      </c>
      <c r="AA1713" s="1939">
        <f t="shared" si="491"/>
        <v>3</v>
      </c>
      <c r="AB1713" s="1944">
        <f>N1713+Z1713</f>
        <v>99118800</v>
      </c>
      <c r="AC1713" s="1939">
        <f t="shared" si="492"/>
        <v>100</v>
      </c>
      <c r="AD1713" s="2041">
        <f>AB1713/L1713*100</f>
        <v>47.19942857142857</v>
      </c>
      <c r="AE1713" s="64" t="s">
        <v>2687</v>
      </c>
    </row>
    <row r="1714" spans="1:31" ht="76.5">
      <c r="A1714" s="497"/>
      <c r="B1714" s="383"/>
      <c r="C1714" s="1935" t="s">
        <v>196</v>
      </c>
      <c r="D1714" s="1236" t="s">
        <v>2558</v>
      </c>
      <c r="E1714" s="1236" t="s">
        <v>107</v>
      </c>
      <c r="F1714" s="1236" t="s">
        <v>66</v>
      </c>
      <c r="G1714" s="1236" t="s">
        <v>448</v>
      </c>
      <c r="H1714" s="1236" t="s">
        <v>476</v>
      </c>
      <c r="I1714" s="741" t="s">
        <v>2710</v>
      </c>
      <c r="J1714" s="1485" t="s">
        <v>2711</v>
      </c>
      <c r="K1714" s="1952">
        <f>12*3</f>
        <v>36</v>
      </c>
      <c r="L1714" s="1947">
        <v>240000000</v>
      </c>
      <c r="M1714" s="1939">
        <v>24</v>
      </c>
      <c r="N1714" s="1940">
        <f>68239360+54523588</f>
        <v>122762948</v>
      </c>
      <c r="O1714" s="1952">
        <v>12</v>
      </c>
      <c r="P1714" s="1940">
        <v>47819461.25</v>
      </c>
      <c r="Q1714" s="1939">
        <v>1</v>
      </c>
      <c r="R1714" s="1940">
        <v>2255200</v>
      </c>
      <c r="S1714" s="64"/>
      <c r="T1714" s="64"/>
      <c r="U1714" s="64"/>
      <c r="V1714" s="64"/>
      <c r="W1714" s="64"/>
      <c r="X1714" s="64"/>
      <c r="Y1714" s="1939">
        <f t="shared" si="490"/>
        <v>1</v>
      </c>
      <c r="Z1714" s="1942">
        <f t="shared" si="490"/>
        <v>2255200</v>
      </c>
      <c r="AA1714" s="1939">
        <f t="shared" si="491"/>
        <v>25</v>
      </c>
      <c r="AB1714" s="1944">
        <f>N1714+Z1714</f>
        <v>125018148</v>
      </c>
      <c r="AC1714" s="1939">
        <f t="shared" si="492"/>
        <v>69.444444444444443</v>
      </c>
      <c r="AD1714" s="2041">
        <f>AB1714/L1714*100</f>
        <v>52.090895000000003</v>
      </c>
      <c r="AE1714" s="64" t="s">
        <v>2687</v>
      </c>
    </row>
    <row r="1715" spans="1:31" ht="38.25">
      <c r="A1715" s="497"/>
      <c r="B1715" s="383"/>
      <c r="C1715" s="1935" t="s">
        <v>196</v>
      </c>
      <c r="D1715" s="1236" t="s">
        <v>2558</v>
      </c>
      <c r="E1715" s="1236" t="s">
        <v>107</v>
      </c>
      <c r="F1715" s="1236" t="s">
        <v>66</v>
      </c>
      <c r="G1715" s="1236" t="s">
        <v>448</v>
      </c>
      <c r="H1715" s="1236" t="s">
        <v>1095</v>
      </c>
      <c r="I1715" s="741" t="s">
        <v>2712</v>
      </c>
      <c r="J1715" s="1485" t="s">
        <v>2713</v>
      </c>
      <c r="K1715" s="1952">
        <v>3</v>
      </c>
      <c r="L1715" s="1947">
        <v>180000000</v>
      </c>
      <c r="M1715" s="1939">
        <v>2</v>
      </c>
      <c r="N1715" s="1940">
        <f>52658000+44421600</f>
        <v>97079600</v>
      </c>
      <c r="O1715" s="1952">
        <v>1</v>
      </c>
      <c r="P1715" s="1940">
        <v>38900487</v>
      </c>
      <c r="Q1715" s="1939">
        <v>1</v>
      </c>
      <c r="R1715" s="1940">
        <v>3223560</v>
      </c>
      <c r="S1715" s="64"/>
      <c r="T1715" s="64"/>
      <c r="U1715" s="64"/>
      <c r="V1715" s="64"/>
      <c r="W1715" s="64"/>
      <c r="X1715" s="64"/>
      <c r="Y1715" s="1939">
        <f t="shared" si="490"/>
        <v>1</v>
      </c>
      <c r="Z1715" s="1942">
        <f t="shared" si="490"/>
        <v>3223560</v>
      </c>
      <c r="AA1715" s="1939">
        <f t="shared" si="491"/>
        <v>3</v>
      </c>
      <c r="AB1715" s="1944">
        <f>N1715+Z1715</f>
        <v>100303160</v>
      </c>
      <c r="AC1715" s="1939">
        <f t="shared" si="492"/>
        <v>100</v>
      </c>
      <c r="AD1715" s="2041">
        <f>AB1715/L1715*100</f>
        <v>55.723977777777776</v>
      </c>
      <c r="AE1715" s="64" t="s">
        <v>2687</v>
      </c>
    </row>
    <row r="1716" spans="1:31">
      <c r="A1716" s="2601" t="s">
        <v>2532</v>
      </c>
      <c r="B1716" s="2602"/>
      <c r="C1716" s="2602"/>
      <c r="D1716" s="2602"/>
      <c r="E1716" s="2602"/>
      <c r="F1716" s="2602"/>
      <c r="G1716" s="2602"/>
      <c r="H1716" s="2602"/>
      <c r="I1716" s="2602"/>
      <c r="J1716" s="2602"/>
      <c r="K1716" s="2602"/>
      <c r="L1716" s="2602"/>
      <c r="M1716" s="2602"/>
      <c r="N1716" s="2602"/>
      <c r="O1716" s="2602"/>
      <c r="P1716" s="2602"/>
      <c r="Q1716" s="2602"/>
      <c r="R1716" s="2602"/>
      <c r="S1716" s="2602"/>
      <c r="T1716" s="2602"/>
      <c r="U1716" s="2602"/>
      <c r="V1716" s="2602"/>
      <c r="W1716" s="2602"/>
      <c r="X1716" s="2602"/>
      <c r="Y1716" s="2602"/>
      <c r="Z1716" s="2602"/>
      <c r="AA1716" s="2602"/>
      <c r="AB1716" s="2603"/>
      <c r="AC1716" s="2044">
        <f>SUM(AC1712:AC1715)/4</f>
        <v>77.777777777777786</v>
      </c>
      <c r="AD1716" s="2045">
        <f>SUM(AD1712:AD1715)/4</f>
        <v>45.395326533314872</v>
      </c>
      <c r="AE1716" s="64"/>
    </row>
    <row r="1717" spans="1:31">
      <c r="A1717" s="2601" t="s">
        <v>2533</v>
      </c>
      <c r="B1717" s="2602"/>
      <c r="C1717" s="2602"/>
      <c r="D1717" s="2602"/>
      <c r="E1717" s="2602"/>
      <c r="F1717" s="2602"/>
      <c r="G1717" s="2602"/>
      <c r="H1717" s="2602"/>
      <c r="I1717" s="2602"/>
      <c r="J1717" s="2602"/>
      <c r="K1717" s="2602"/>
      <c r="L1717" s="2602"/>
      <c r="M1717" s="2602"/>
      <c r="N1717" s="2602"/>
      <c r="O1717" s="2602"/>
      <c r="P1717" s="2602"/>
      <c r="Q1717" s="2602"/>
      <c r="R1717" s="2602"/>
      <c r="S1717" s="2602"/>
      <c r="T1717" s="2602"/>
      <c r="U1717" s="2602"/>
      <c r="V1717" s="2602"/>
      <c r="W1717" s="2602"/>
      <c r="X1717" s="2602"/>
      <c r="Y1717" s="2602"/>
      <c r="Z1717" s="2602"/>
      <c r="AA1717" s="2602"/>
      <c r="AB1717" s="2603"/>
      <c r="AC1717" s="2026" t="s">
        <v>2714</v>
      </c>
      <c r="AD1717" s="2028" t="s">
        <v>2534</v>
      </c>
      <c r="AE1717" s="64"/>
    </row>
    <row r="1718" spans="1:31" s="63" customFormat="1" ht="51">
      <c r="A1718" s="1904">
        <v>21</v>
      </c>
      <c r="B1718" s="344" t="s">
        <v>2510</v>
      </c>
      <c r="C1718" s="1935" t="s">
        <v>95</v>
      </c>
      <c r="D1718" s="1236" t="s">
        <v>2558</v>
      </c>
      <c r="E1718" s="1236" t="s">
        <v>107</v>
      </c>
      <c r="F1718" s="1236" t="s">
        <v>66</v>
      </c>
      <c r="G1718" s="1236" t="s">
        <v>399</v>
      </c>
      <c r="H1718" s="1236"/>
      <c r="I1718" s="344" t="s">
        <v>1246</v>
      </c>
      <c r="J1718" s="344" t="s">
        <v>2715</v>
      </c>
      <c r="K1718" s="2137">
        <v>6</v>
      </c>
      <c r="L1718" s="2120">
        <f>L1719+L1720</f>
        <v>1036000000</v>
      </c>
      <c r="M1718" s="2138"/>
      <c r="N1718" s="2125">
        <f>N1719+N1720</f>
        <v>572853226</v>
      </c>
      <c r="O1718" s="2137">
        <v>6</v>
      </c>
      <c r="P1718" s="2123">
        <f>SUM(P1719:P1720)</f>
        <v>183894308.25</v>
      </c>
      <c r="Q1718" s="2124"/>
      <c r="R1718" s="2123">
        <f>SUM(R1719:R1720)</f>
        <v>27208804</v>
      </c>
      <c r="S1718" s="616"/>
      <c r="T1718" s="616"/>
      <c r="U1718" s="616"/>
      <c r="V1718" s="616"/>
      <c r="W1718" s="616"/>
      <c r="X1718" s="616"/>
      <c r="Y1718" s="2124">
        <f t="shared" ref="Y1718:Z1720" si="493">Q1718</f>
        <v>0</v>
      </c>
      <c r="Z1718" s="1944">
        <f t="shared" si="493"/>
        <v>27208804</v>
      </c>
      <c r="AA1718" s="389">
        <f>M1718+Q1718</f>
        <v>0</v>
      </c>
      <c r="AB1718" s="1944">
        <f>N1718+Z1718</f>
        <v>600062030</v>
      </c>
      <c r="AC1718" s="2129">
        <f t="shared" ref="AC1718:AC1720" si="494">AA1718/K1718*100</f>
        <v>0</v>
      </c>
      <c r="AD1718" s="2136">
        <f>AB1718/L1718*100</f>
        <v>57.921045366795369</v>
      </c>
      <c r="AE1718" s="616"/>
    </row>
    <row r="1719" spans="1:31" ht="63.75">
      <c r="A1719" s="497"/>
      <c r="B1719" s="383"/>
      <c r="C1719" s="1935" t="s">
        <v>95</v>
      </c>
      <c r="D1719" s="1236" t="s">
        <v>2558</v>
      </c>
      <c r="E1719" s="1236" t="s">
        <v>107</v>
      </c>
      <c r="F1719" s="1236" t="s">
        <v>66</v>
      </c>
      <c r="G1719" s="1236" t="s">
        <v>399</v>
      </c>
      <c r="H1719" s="1236" t="s">
        <v>399</v>
      </c>
      <c r="I1719" s="1936" t="s">
        <v>2716</v>
      </c>
      <c r="J1719" s="1485" t="s">
        <v>2717</v>
      </c>
      <c r="K1719" s="1991">
        <v>300</v>
      </c>
      <c r="L1719" s="1698">
        <v>315000000</v>
      </c>
      <c r="M1719" s="1939">
        <v>200</v>
      </c>
      <c r="N1719" s="1940">
        <f>59911444+81383050</f>
        <v>141294494</v>
      </c>
      <c r="O1719" s="2010">
        <v>100</v>
      </c>
      <c r="P1719" s="1971">
        <v>44144249.25</v>
      </c>
      <c r="Q1719" s="1939">
        <v>25</v>
      </c>
      <c r="R1719" s="1940">
        <v>8073897</v>
      </c>
      <c r="S1719" s="64"/>
      <c r="T1719" s="64"/>
      <c r="U1719" s="64"/>
      <c r="V1719" s="64"/>
      <c r="W1719" s="64"/>
      <c r="X1719" s="64"/>
      <c r="Y1719" s="1939">
        <f t="shared" si="493"/>
        <v>25</v>
      </c>
      <c r="Z1719" s="1942">
        <f t="shared" si="493"/>
        <v>8073897</v>
      </c>
      <c r="AA1719" s="1939">
        <f>M1719+Q1719</f>
        <v>225</v>
      </c>
      <c r="AB1719" s="1944">
        <f>N1719+Z1719</f>
        <v>149368391</v>
      </c>
      <c r="AC1719" s="1939">
        <f t="shared" si="494"/>
        <v>75</v>
      </c>
      <c r="AD1719" s="2041">
        <f>AB1719/L1719*100</f>
        <v>47.418536825396821</v>
      </c>
      <c r="AE1719" s="64" t="s">
        <v>2718</v>
      </c>
    </row>
    <row r="1720" spans="1:31" ht="25.5">
      <c r="A1720" s="497"/>
      <c r="B1720" s="383"/>
      <c r="C1720" s="1935" t="s">
        <v>95</v>
      </c>
      <c r="D1720" s="1236" t="s">
        <v>2558</v>
      </c>
      <c r="E1720" s="1236" t="s">
        <v>107</v>
      </c>
      <c r="F1720" s="1236" t="s">
        <v>66</v>
      </c>
      <c r="G1720" s="1236" t="s">
        <v>399</v>
      </c>
      <c r="H1720" s="1236" t="s">
        <v>181</v>
      </c>
      <c r="I1720" s="1936" t="s">
        <v>2719</v>
      </c>
      <c r="J1720" s="1485" t="s">
        <v>2720</v>
      </c>
      <c r="K1720" s="1938">
        <f>12*3</f>
        <v>36</v>
      </c>
      <c r="L1720" s="1698">
        <v>721000000</v>
      </c>
      <c r="M1720" s="1939">
        <v>24</v>
      </c>
      <c r="N1720" s="1940">
        <f>237645332+193913400</f>
        <v>431558732</v>
      </c>
      <c r="O1720" s="1938">
        <v>12</v>
      </c>
      <c r="P1720" s="1940">
        <v>139750059</v>
      </c>
      <c r="Q1720" s="1939">
        <v>3</v>
      </c>
      <c r="R1720" s="1940">
        <v>19134907</v>
      </c>
      <c r="S1720" s="64"/>
      <c r="T1720" s="64"/>
      <c r="U1720" s="64"/>
      <c r="V1720" s="64"/>
      <c r="W1720" s="64"/>
      <c r="X1720" s="64"/>
      <c r="Y1720" s="1939">
        <f t="shared" si="493"/>
        <v>3</v>
      </c>
      <c r="Z1720" s="1942">
        <f t="shared" si="493"/>
        <v>19134907</v>
      </c>
      <c r="AA1720" s="1939">
        <f>M1720+Q1720</f>
        <v>27</v>
      </c>
      <c r="AB1720" s="1944">
        <f>N1720+Z1720</f>
        <v>450693639</v>
      </c>
      <c r="AC1720" s="1939">
        <f t="shared" si="494"/>
        <v>75</v>
      </c>
      <c r="AD1720" s="2041">
        <f>AB1720/L1720*100</f>
        <v>62.509519972260755</v>
      </c>
      <c r="AE1720" s="64" t="s">
        <v>2721</v>
      </c>
    </row>
    <row r="1721" spans="1:31">
      <c r="A1721" s="2601" t="s">
        <v>2532</v>
      </c>
      <c r="B1721" s="2602"/>
      <c r="C1721" s="2602"/>
      <c r="D1721" s="2602"/>
      <c r="E1721" s="2602"/>
      <c r="F1721" s="2602"/>
      <c r="G1721" s="2602"/>
      <c r="H1721" s="2602"/>
      <c r="I1721" s="2602"/>
      <c r="J1721" s="2602"/>
      <c r="K1721" s="2602"/>
      <c r="L1721" s="2602"/>
      <c r="M1721" s="2602"/>
      <c r="N1721" s="2602"/>
      <c r="O1721" s="2602"/>
      <c r="P1721" s="2602"/>
      <c r="Q1721" s="2602"/>
      <c r="R1721" s="2602"/>
      <c r="S1721" s="2602"/>
      <c r="T1721" s="2602"/>
      <c r="U1721" s="2602"/>
      <c r="V1721" s="2602"/>
      <c r="W1721" s="2602"/>
      <c r="X1721" s="2602"/>
      <c r="Y1721" s="2602"/>
      <c r="Z1721" s="2602"/>
      <c r="AA1721" s="2602"/>
      <c r="AB1721" s="2603"/>
      <c r="AC1721" s="2026">
        <f>SUM(AC1719:AC1720)/2</f>
        <v>75</v>
      </c>
      <c r="AD1721" s="2043">
        <f>SUM(AD1719:AD1720)/2</f>
        <v>54.964028398828788</v>
      </c>
      <c r="AE1721" s="64"/>
    </row>
    <row r="1722" spans="1:31">
      <c r="A1722" s="2601" t="s">
        <v>2533</v>
      </c>
      <c r="B1722" s="2602"/>
      <c r="C1722" s="2602"/>
      <c r="D1722" s="2602"/>
      <c r="E1722" s="2602"/>
      <c r="F1722" s="2602"/>
      <c r="G1722" s="2602"/>
      <c r="H1722" s="2602"/>
      <c r="I1722" s="2602"/>
      <c r="J1722" s="2602"/>
      <c r="K1722" s="2602"/>
      <c r="L1722" s="2602"/>
      <c r="M1722" s="2602"/>
      <c r="N1722" s="2602"/>
      <c r="O1722" s="2602"/>
      <c r="P1722" s="2602"/>
      <c r="Q1722" s="2602"/>
      <c r="R1722" s="2602"/>
      <c r="S1722" s="2602"/>
      <c r="T1722" s="2602"/>
      <c r="U1722" s="2602"/>
      <c r="V1722" s="2602"/>
      <c r="W1722" s="2602"/>
      <c r="X1722" s="2602"/>
      <c r="Y1722" s="2602"/>
      <c r="Z1722" s="2602"/>
      <c r="AA1722" s="2602"/>
      <c r="AB1722" s="2603"/>
      <c r="AC1722" s="2026" t="s">
        <v>2714</v>
      </c>
      <c r="AD1722" s="2028" t="s">
        <v>2566</v>
      </c>
      <c r="AE1722" s="64"/>
    </row>
    <row r="1723" spans="1:31" s="63" customFormat="1" ht="114.75">
      <c r="A1723" s="495">
        <v>22</v>
      </c>
      <c r="B1723" s="344" t="s">
        <v>2611</v>
      </c>
      <c r="C1723" s="1935" t="s">
        <v>66</v>
      </c>
      <c r="D1723" s="1236" t="s">
        <v>2558</v>
      </c>
      <c r="E1723" s="1236" t="s">
        <v>107</v>
      </c>
      <c r="F1723" s="1236" t="s">
        <v>66</v>
      </c>
      <c r="G1723" s="1236" t="s">
        <v>166</v>
      </c>
      <c r="H1723" s="1236"/>
      <c r="I1723" s="344" t="s">
        <v>2722</v>
      </c>
      <c r="J1723" s="1471" t="s">
        <v>2723</v>
      </c>
      <c r="K1723" s="2139">
        <v>315</v>
      </c>
      <c r="L1723" s="2120">
        <f>L1724</f>
        <v>2075000000</v>
      </c>
      <c r="M1723" s="633">
        <v>100</v>
      </c>
      <c r="N1723" s="1944">
        <f>N1724</f>
        <v>755299800</v>
      </c>
      <c r="O1723" s="2139">
        <v>50</v>
      </c>
      <c r="P1723" s="2123">
        <f>P1724</f>
        <v>229224100</v>
      </c>
      <c r="Q1723" s="633">
        <v>15</v>
      </c>
      <c r="R1723" s="2121">
        <f>R1724</f>
        <v>31608000</v>
      </c>
      <c r="S1723" s="385"/>
      <c r="T1723" s="385"/>
      <c r="U1723" s="385"/>
      <c r="V1723" s="385"/>
      <c r="W1723" s="385"/>
      <c r="X1723" s="385"/>
      <c r="Y1723" s="633">
        <f>Q1723</f>
        <v>15</v>
      </c>
      <c r="Z1723" s="2125">
        <f>R1723</f>
        <v>31608000</v>
      </c>
      <c r="AA1723" s="633">
        <f>M1723+Q1723</f>
        <v>115</v>
      </c>
      <c r="AB1723" s="2125">
        <f>N1723+Z1723</f>
        <v>786907800</v>
      </c>
      <c r="AC1723" s="633">
        <f t="shared" ref="AC1723:AC1724" si="495">AA1723/K1723*100</f>
        <v>36.507936507936506</v>
      </c>
      <c r="AD1723" s="2140">
        <f>AB1723/L1723*100</f>
        <v>37.923267469879519</v>
      </c>
      <c r="AE1723" s="385"/>
    </row>
    <row r="1724" spans="1:31" ht="63.75">
      <c r="A1724" s="497"/>
      <c r="B1724" s="383"/>
      <c r="C1724" s="1935" t="s">
        <v>66</v>
      </c>
      <c r="D1724" s="1236" t="s">
        <v>2558</v>
      </c>
      <c r="E1724" s="1236" t="s">
        <v>107</v>
      </c>
      <c r="F1724" s="1236" t="s">
        <v>66</v>
      </c>
      <c r="G1724" s="1236" t="s">
        <v>166</v>
      </c>
      <c r="H1724" s="1236" t="s">
        <v>66</v>
      </c>
      <c r="I1724" s="741" t="s">
        <v>2724</v>
      </c>
      <c r="J1724" s="1485" t="s">
        <v>2725</v>
      </c>
      <c r="K1724" s="1938">
        <v>220</v>
      </c>
      <c r="L1724" s="1947">
        <v>2075000000</v>
      </c>
      <c r="M1724" s="1939">
        <v>140</v>
      </c>
      <c r="N1724" s="1940">
        <f>315794400+439505400</f>
        <v>755299800</v>
      </c>
      <c r="O1724" s="1938">
        <v>70</v>
      </c>
      <c r="P1724" s="1971">
        <v>229224100</v>
      </c>
      <c r="Q1724" s="1939">
        <v>15</v>
      </c>
      <c r="R1724" s="1940">
        <v>31608000</v>
      </c>
      <c r="S1724" s="64"/>
      <c r="T1724" s="64"/>
      <c r="U1724" s="64"/>
      <c r="V1724" s="64"/>
      <c r="W1724" s="64"/>
      <c r="X1724" s="64"/>
      <c r="Y1724" s="1939">
        <f>Q1724</f>
        <v>15</v>
      </c>
      <c r="Z1724" s="1942">
        <f>R1724</f>
        <v>31608000</v>
      </c>
      <c r="AA1724" s="1939">
        <f>M1724+Q1724</f>
        <v>155</v>
      </c>
      <c r="AB1724" s="1944">
        <f>N1724+Z1724</f>
        <v>786907800</v>
      </c>
      <c r="AC1724" s="1939">
        <f t="shared" si="495"/>
        <v>70.454545454545453</v>
      </c>
      <c r="AD1724" s="2041">
        <f>AB1724/L1724*100</f>
        <v>37.923267469879519</v>
      </c>
      <c r="AE1724" s="64" t="s">
        <v>2513</v>
      </c>
    </row>
    <row r="1725" spans="1:31">
      <c r="A1725" s="2601" t="s">
        <v>2532</v>
      </c>
      <c r="B1725" s="2602"/>
      <c r="C1725" s="2602"/>
      <c r="D1725" s="2602"/>
      <c r="E1725" s="2602"/>
      <c r="F1725" s="2602"/>
      <c r="G1725" s="2602"/>
      <c r="H1725" s="2602"/>
      <c r="I1725" s="2602"/>
      <c r="J1725" s="2602"/>
      <c r="K1725" s="2602"/>
      <c r="L1725" s="2602"/>
      <c r="M1725" s="2602"/>
      <c r="N1725" s="2602"/>
      <c r="O1725" s="2602"/>
      <c r="P1725" s="2602"/>
      <c r="Q1725" s="2602"/>
      <c r="R1725" s="2602"/>
      <c r="S1725" s="2602"/>
      <c r="T1725" s="2602"/>
      <c r="U1725" s="2602"/>
      <c r="V1725" s="2602"/>
      <c r="W1725" s="2602"/>
      <c r="X1725" s="2602"/>
      <c r="Y1725" s="2602"/>
      <c r="Z1725" s="2602"/>
      <c r="AA1725" s="2602"/>
      <c r="AB1725" s="2603"/>
      <c r="AC1725" s="2044">
        <f>AC1724</f>
        <v>70.454545454545453</v>
      </c>
      <c r="AD1725" s="2046">
        <f>AD1724</f>
        <v>37.923267469879519</v>
      </c>
      <c r="AE1725" s="64"/>
    </row>
    <row r="1726" spans="1:31">
      <c r="A1726" s="2601" t="s">
        <v>2533</v>
      </c>
      <c r="B1726" s="2602"/>
      <c r="C1726" s="2602"/>
      <c r="D1726" s="2602"/>
      <c r="E1726" s="2602"/>
      <c r="F1726" s="2602"/>
      <c r="G1726" s="2602"/>
      <c r="H1726" s="2602"/>
      <c r="I1726" s="2602"/>
      <c r="J1726" s="2602"/>
      <c r="K1726" s="2602"/>
      <c r="L1726" s="2602"/>
      <c r="M1726" s="2602"/>
      <c r="N1726" s="2602"/>
      <c r="O1726" s="2602"/>
      <c r="P1726" s="2602"/>
      <c r="Q1726" s="2602"/>
      <c r="R1726" s="2602"/>
      <c r="S1726" s="2602"/>
      <c r="T1726" s="2602"/>
      <c r="U1726" s="2602"/>
      <c r="V1726" s="2602"/>
      <c r="W1726" s="2602"/>
      <c r="X1726" s="2602"/>
      <c r="Y1726" s="2602"/>
      <c r="Z1726" s="2602"/>
      <c r="AA1726" s="2602"/>
      <c r="AB1726" s="2603"/>
      <c r="AC1726" s="2026" t="s">
        <v>2714</v>
      </c>
      <c r="AD1726" s="2028" t="s">
        <v>2534</v>
      </c>
      <c r="AE1726" s="64"/>
    </row>
    <row r="1727" spans="1:31" s="63" customFormat="1" ht="114.75">
      <c r="A1727" s="495">
        <v>23</v>
      </c>
      <c r="B1727" s="344" t="s">
        <v>2611</v>
      </c>
      <c r="C1727" s="1935" t="s">
        <v>66</v>
      </c>
      <c r="D1727" s="1236" t="s">
        <v>2558</v>
      </c>
      <c r="E1727" s="1236" t="s">
        <v>107</v>
      </c>
      <c r="F1727" s="1236" t="s">
        <v>66</v>
      </c>
      <c r="G1727" s="1236" t="s">
        <v>459</v>
      </c>
      <c r="H1727" s="1236"/>
      <c r="I1727" s="383" t="s">
        <v>2726</v>
      </c>
      <c r="J1727" s="618" t="s">
        <v>2727</v>
      </c>
      <c r="K1727" s="2127">
        <v>550</v>
      </c>
      <c r="L1727" s="2120">
        <f>L1729+L1730+L1731+L1732</f>
        <v>2160000000</v>
      </c>
      <c r="M1727" s="633">
        <f>90+85</f>
        <v>175</v>
      </c>
      <c r="N1727" s="2125">
        <f>SUM(N1729:N1732)</f>
        <v>1154523108</v>
      </c>
      <c r="O1727" s="2127">
        <v>95</v>
      </c>
      <c r="P1727" s="2125">
        <f>SUM(P1729:P1732)</f>
        <v>448726269</v>
      </c>
      <c r="Q1727" s="633">
        <v>30</v>
      </c>
      <c r="R1727" s="2125">
        <f>SUM(R1729:R1732)</f>
        <v>31153100</v>
      </c>
      <c r="S1727" s="616"/>
      <c r="T1727" s="616"/>
      <c r="U1727" s="616"/>
      <c r="V1727" s="616"/>
      <c r="W1727" s="616"/>
      <c r="X1727" s="616"/>
      <c r="Y1727" s="2121">
        <f>Q1727</f>
        <v>30</v>
      </c>
      <c r="Z1727" s="2121">
        <f>R1727</f>
        <v>31153100</v>
      </c>
      <c r="AA1727" s="2121">
        <f t="shared" ref="AA1727:AA1732" si="496">M1727+Q1727</f>
        <v>205</v>
      </c>
      <c r="AB1727" s="2121">
        <f t="shared" ref="AB1727:AB1732" si="497">N1727+Z1727</f>
        <v>1185676208</v>
      </c>
      <c r="AC1727" s="633">
        <f t="shared" ref="AC1727:AC1732" si="498">AA1727/K1727*100</f>
        <v>37.272727272727273</v>
      </c>
      <c r="AD1727" s="2141">
        <f>AB1727/L1727*100</f>
        <v>54.892417037037035</v>
      </c>
      <c r="AE1727" s="633"/>
    </row>
    <row r="1728" spans="1:31" s="63" customFormat="1" ht="38.25">
      <c r="A1728" s="497"/>
      <c r="B1728" s="383"/>
      <c r="C1728" s="1935"/>
      <c r="D1728" s="1236"/>
      <c r="E1728" s="1236"/>
      <c r="F1728" s="1236"/>
      <c r="G1728" s="1236"/>
      <c r="H1728" s="1236"/>
      <c r="I1728" s="383"/>
      <c r="J1728" s="618" t="s">
        <v>2728</v>
      </c>
      <c r="K1728" s="2142">
        <v>570</v>
      </c>
      <c r="L1728" s="616"/>
      <c r="M1728" s="633">
        <f>95+95</f>
        <v>190</v>
      </c>
      <c r="N1728" s="616"/>
      <c r="O1728" s="2142">
        <v>95</v>
      </c>
      <c r="P1728" s="2125"/>
      <c r="Q1728" s="633">
        <v>30</v>
      </c>
      <c r="R1728" s="2125"/>
      <c r="S1728" s="616"/>
      <c r="T1728" s="616"/>
      <c r="U1728" s="616"/>
      <c r="V1728" s="616"/>
      <c r="W1728" s="616"/>
      <c r="X1728" s="616"/>
      <c r="Y1728" s="2121">
        <f>Q1728</f>
        <v>30</v>
      </c>
      <c r="Z1728" s="2121"/>
      <c r="AA1728" s="2121">
        <f t="shared" si="496"/>
        <v>220</v>
      </c>
      <c r="AB1728" s="2047">
        <f t="shared" si="497"/>
        <v>0</v>
      </c>
      <c r="AC1728" s="633">
        <f t="shared" si="498"/>
        <v>38.596491228070171</v>
      </c>
      <c r="AD1728" s="2141"/>
      <c r="AE1728" s="633"/>
    </row>
    <row r="1729" spans="1:31" ht="25.5">
      <c r="A1729" s="497"/>
      <c r="B1729" s="383"/>
      <c r="C1729" s="1935" t="s">
        <v>66</v>
      </c>
      <c r="D1729" s="1236" t="s">
        <v>2558</v>
      </c>
      <c r="E1729" s="1236" t="s">
        <v>107</v>
      </c>
      <c r="F1729" s="1236" t="s">
        <v>66</v>
      </c>
      <c r="G1729" s="1236" t="s">
        <v>459</v>
      </c>
      <c r="H1729" s="1236" t="s">
        <v>66</v>
      </c>
      <c r="I1729" s="384" t="s">
        <v>2729</v>
      </c>
      <c r="J1729" s="1485" t="s">
        <v>2730</v>
      </c>
      <c r="K1729" s="64">
        <v>100</v>
      </c>
      <c r="L1729" s="2011">
        <v>780000000</v>
      </c>
      <c r="M1729" s="2012">
        <v>50</v>
      </c>
      <c r="N1729" s="2013">
        <f>236041650+275239550</f>
        <v>511281200</v>
      </c>
      <c r="O1729" s="2014">
        <v>50</v>
      </c>
      <c r="P1729" s="1940">
        <v>193437389</v>
      </c>
      <c r="Q1729" s="1939">
        <v>51</v>
      </c>
      <c r="R1729" s="1940">
        <v>11466000</v>
      </c>
      <c r="S1729" s="64"/>
      <c r="T1729" s="64"/>
      <c r="U1729" s="64"/>
      <c r="V1729" s="64"/>
      <c r="W1729" s="64"/>
      <c r="X1729" s="64"/>
      <c r="Y1729" s="1940">
        <f>Q1729</f>
        <v>51</v>
      </c>
      <c r="Z1729" s="1940">
        <f>R1729</f>
        <v>11466000</v>
      </c>
      <c r="AA1729" s="1940">
        <f t="shared" si="496"/>
        <v>101</v>
      </c>
      <c r="AB1729" s="2047">
        <f t="shared" si="497"/>
        <v>522747200</v>
      </c>
      <c r="AC1729" s="1939">
        <f t="shared" si="498"/>
        <v>101</v>
      </c>
      <c r="AD1729" s="2048">
        <f>AB1729/L1729*100</f>
        <v>67.018871794871799</v>
      </c>
      <c r="AE1729" s="1939" t="s">
        <v>2589</v>
      </c>
    </row>
    <row r="1730" spans="1:31" ht="38.25">
      <c r="A1730" s="497"/>
      <c r="B1730" s="383"/>
      <c r="C1730" s="1935" t="s">
        <v>66</v>
      </c>
      <c r="D1730" s="1236" t="s">
        <v>2558</v>
      </c>
      <c r="E1730" s="1236" t="s">
        <v>107</v>
      </c>
      <c r="F1730" s="1236" t="s">
        <v>66</v>
      </c>
      <c r="G1730" s="1236" t="s">
        <v>459</v>
      </c>
      <c r="H1730" s="1236" t="s">
        <v>65</v>
      </c>
      <c r="I1730" s="384" t="s">
        <v>2731</v>
      </c>
      <c r="J1730" s="1485" t="s">
        <v>2732</v>
      </c>
      <c r="K1730" s="64">
        <v>26</v>
      </c>
      <c r="L1730" s="2011">
        <v>810000000</v>
      </c>
      <c r="M1730" s="2015">
        <v>18</v>
      </c>
      <c r="N1730" s="2016">
        <f>201408023+132817840</f>
        <v>334225863</v>
      </c>
      <c r="O1730" s="2014">
        <v>8</v>
      </c>
      <c r="P1730" s="1940">
        <v>103857590</v>
      </c>
      <c r="Q1730" s="1939">
        <v>3</v>
      </c>
      <c r="R1730" s="1940">
        <v>6663100</v>
      </c>
      <c r="S1730" s="64"/>
      <c r="T1730" s="64"/>
      <c r="U1730" s="64"/>
      <c r="V1730" s="64"/>
      <c r="W1730" s="64"/>
      <c r="X1730" s="64"/>
      <c r="Y1730" s="1940">
        <f>Q1730</f>
        <v>3</v>
      </c>
      <c r="Z1730" s="1940">
        <f>R1730</f>
        <v>6663100</v>
      </c>
      <c r="AA1730" s="1940">
        <f t="shared" si="496"/>
        <v>21</v>
      </c>
      <c r="AB1730" s="2047">
        <f t="shared" si="497"/>
        <v>340888963</v>
      </c>
      <c r="AC1730" s="1939">
        <f t="shared" si="498"/>
        <v>80.769230769230774</v>
      </c>
      <c r="AD1730" s="2048">
        <f>AB1730/L1730*100</f>
        <v>42.085057160493825</v>
      </c>
      <c r="AE1730" s="1939" t="s">
        <v>2589</v>
      </c>
    </row>
    <row r="1731" spans="1:31" ht="25.5">
      <c r="A1731" s="497"/>
      <c r="B1731" s="383"/>
      <c r="C1731" s="1935" t="s">
        <v>66</v>
      </c>
      <c r="D1731" s="1236" t="s">
        <v>2558</v>
      </c>
      <c r="E1731" s="1236" t="s">
        <v>107</v>
      </c>
      <c r="F1731" s="1236" t="s">
        <v>66</v>
      </c>
      <c r="G1731" s="1236" t="s">
        <v>459</v>
      </c>
      <c r="H1731" s="1236" t="s">
        <v>196</v>
      </c>
      <c r="I1731" s="384" t="s">
        <v>2733</v>
      </c>
      <c r="J1731" s="741" t="s">
        <v>2734</v>
      </c>
      <c r="K1731" s="64">
        <v>1020</v>
      </c>
      <c r="L1731" s="2011">
        <v>390000000</v>
      </c>
      <c r="M1731" s="2017">
        <f>500+260</f>
        <v>760</v>
      </c>
      <c r="N1731" s="2018">
        <f>84271920+75100000</f>
        <v>159371920</v>
      </c>
      <c r="O1731" s="2014">
        <v>260</v>
      </c>
      <c r="P1731" s="1940">
        <v>77393461</v>
      </c>
      <c r="Q1731" s="1959"/>
      <c r="R1731" s="1940">
        <v>2013000</v>
      </c>
      <c r="S1731" s="64"/>
      <c r="T1731" s="64"/>
      <c r="U1731" s="64"/>
      <c r="V1731" s="64"/>
      <c r="W1731" s="64"/>
      <c r="X1731" s="64"/>
      <c r="Y1731" s="1940">
        <f>Q1731</f>
        <v>0</v>
      </c>
      <c r="Z1731" s="1940">
        <f>R1731</f>
        <v>2013000</v>
      </c>
      <c r="AA1731" s="1940">
        <f t="shared" si="496"/>
        <v>760</v>
      </c>
      <c r="AB1731" s="2047">
        <f t="shared" si="497"/>
        <v>161384920</v>
      </c>
      <c r="AC1731" s="1939">
        <f t="shared" si="498"/>
        <v>74.509803921568633</v>
      </c>
      <c r="AD1731" s="2048">
        <f>AB1731/L1731*100</f>
        <v>41.38074871794872</v>
      </c>
      <c r="AE1731" s="1939" t="s">
        <v>2589</v>
      </c>
    </row>
    <row r="1732" spans="1:31" ht="38.25">
      <c r="A1732" s="497"/>
      <c r="B1732" s="383"/>
      <c r="C1732" s="1935" t="s">
        <v>66</v>
      </c>
      <c r="D1732" s="1236" t="s">
        <v>2558</v>
      </c>
      <c r="E1732" s="1236" t="s">
        <v>107</v>
      </c>
      <c r="F1732" s="1236" t="s">
        <v>66</v>
      </c>
      <c r="G1732" s="1236" t="s">
        <v>459</v>
      </c>
      <c r="H1732" s="1236" t="s">
        <v>95</v>
      </c>
      <c r="I1732" s="384" t="s">
        <v>2735</v>
      </c>
      <c r="J1732" s="741" t="s">
        <v>2736</v>
      </c>
      <c r="K1732" s="64">
        <v>58</v>
      </c>
      <c r="L1732" s="1698">
        <v>180000000</v>
      </c>
      <c r="M1732" s="1939">
        <f>15+20</f>
        <v>35</v>
      </c>
      <c r="N1732" s="1940">
        <f>106221325+43422800</f>
        <v>149644125</v>
      </c>
      <c r="O1732" s="729">
        <v>23</v>
      </c>
      <c r="P1732" s="1940">
        <v>74037829</v>
      </c>
      <c r="Q1732" s="1939">
        <v>2</v>
      </c>
      <c r="R1732" s="1940">
        <v>11011000</v>
      </c>
      <c r="S1732" s="64"/>
      <c r="T1732" s="64"/>
      <c r="U1732" s="64"/>
      <c r="V1732" s="64"/>
      <c r="W1732" s="64"/>
      <c r="X1732" s="64"/>
      <c r="Y1732" s="1940">
        <f>Q1732</f>
        <v>2</v>
      </c>
      <c r="Z1732" s="1940">
        <f>R1732</f>
        <v>11011000</v>
      </c>
      <c r="AA1732" s="1940">
        <f t="shared" si="496"/>
        <v>37</v>
      </c>
      <c r="AB1732" s="2047">
        <f t="shared" si="497"/>
        <v>160655125</v>
      </c>
      <c r="AC1732" s="1939">
        <f t="shared" si="498"/>
        <v>63.793103448275865</v>
      </c>
      <c r="AD1732" s="2048">
        <f>AB1732/L1732*100</f>
        <v>89.252847222222215</v>
      </c>
      <c r="AE1732" s="1939" t="s">
        <v>2589</v>
      </c>
    </row>
    <row r="1733" spans="1:31">
      <c r="A1733" s="2601" t="s">
        <v>2532</v>
      </c>
      <c r="B1733" s="2602"/>
      <c r="C1733" s="2602"/>
      <c r="D1733" s="2602"/>
      <c r="E1733" s="2602"/>
      <c r="F1733" s="2602"/>
      <c r="G1733" s="2602"/>
      <c r="H1733" s="2602"/>
      <c r="I1733" s="2602"/>
      <c r="J1733" s="2602"/>
      <c r="K1733" s="2602"/>
      <c r="L1733" s="2602"/>
      <c r="M1733" s="2602"/>
      <c r="N1733" s="2602"/>
      <c r="O1733" s="2602"/>
      <c r="P1733" s="2602"/>
      <c r="Q1733" s="2602"/>
      <c r="R1733" s="2602"/>
      <c r="S1733" s="2602"/>
      <c r="T1733" s="2602"/>
      <c r="U1733" s="2602"/>
      <c r="V1733" s="2602"/>
      <c r="W1733" s="2602"/>
      <c r="X1733" s="2602"/>
      <c r="Y1733" s="2602"/>
      <c r="Z1733" s="2602"/>
      <c r="AA1733" s="2602"/>
      <c r="AB1733" s="2603"/>
      <c r="AC1733" s="2049">
        <f>SUM(AC1729:AC1732)/4</f>
        <v>80.018034534768816</v>
      </c>
      <c r="AD1733" s="1107">
        <f>SUM(AD1729:AD1732)/4</f>
        <v>59.934381223884145</v>
      </c>
      <c r="AE1733" s="64"/>
    </row>
    <row r="1734" spans="1:31">
      <c r="A1734" s="2601" t="s">
        <v>2533</v>
      </c>
      <c r="B1734" s="2602"/>
      <c r="C1734" s="2602"/>
      <c r="D1734" s="2602"/>
      <c r="E1734" s="2602"/>
      <c r="F1734" s="2602"/>
      <c r="G1734" s="2602"/>
      <c r="H1734" s="2602"/>
      <c r="I1734" s="2602"/>
      <c r="J1734" s="2602"/>
      <c r="K1734" s="2602"/>
      <c r="L1734" s="2602"/>
      <c r="M1734" s="2602"/>
      <c r="N1734" s="2602"/>
      <c r="O1734" s="2602"/>
      <c r="P1734" s="2602"/>
      <c r="Q1734" s="2602"/>
      <c r="R1734" s="2602"/>
      <c r="S1734" s="2602"/>
      <c r="T1734" s="2602"/>
      <c r="U1734" s="2602"/>
      <c r="V1734" s="2602"/>
      <c r="W1734" s="2602"/>
      <c r="X1734" s="2602"/>
      <c r="Y1734" s="2602"/>
      <c r="Z1734" s="2602"/>
      <c r="AA1734" s="2602"/>
      <c r="AB1734" s="2603"/>
      <c r="AC1734" s="1883" t="s">
        <v>2565</v>
      </c>
      <c r="AD1734" s="2030" t="s">
        <v>2566</v>
      </c>
      <c r="AE1734" s="64"/>
    </row>
    <row r="1735" spans="1:31" ht="63.75">
      <c r="A1735" s="2009">
        <v>24</v>
      </c>
      <c r="B1735" s="2019" t="s">
        <v>2510</v>
      </c>
      <c r="C1735" s="1924" t="s">
        <v>66</v>
      </c>
      <c r="D1735" s="1925" t="s">
        <v>2558</v>
      </c>
      <c r="E1735" s="1925" t="s">
        <v>107</v>
      </c>
      <c r="F1735" s="1925" t="s">
        <v>66</v>
      </c>
      <c r="G1735" s="1925" t="s">
        <v>178</v>
      </c>
      <c r="H1735" s="1925"/>
      <c r="I1735" s="1926" t="s">
        <v>2737</v>
      </c>
      <c r="J1735" s="1926" t="s">
        <v>2738</v>
      </c>
      <c r="K1735" s="1930">
        <v>535</v>
      </c>
      <c r="L1735" s="1953">
        <f>L1736+L1737+L1738+L1739</f>
        <v>1640000000</v>
      </c>
      <c r="M1735" s="1930">
        <f>80+80</f>
        <v>160</v>
      </c>
      <c r="N1735" s="1933">
        <f>N1737</f>
        <v>122933575</v>
      </c>
      <c r="O1735" s="1928">
        <v>90</v>
      </c>
      <c r="P1735" s="1985">
        <f>P1736+P1737+P1739+P1738</f>
        <v>291332345.5</v>
      </c>
      <c r="Q1735" s="2020"/>
      <c r="R1735" s="1985">
        <f>R1736+R1737+R1739+R1738</f>
        <v>38408674</v>
      </c>
      <c r="S1735" s="1957"/>
      <c r="T1735" s="1957"/>
      <c r="U1735" s="1957"/>
      <c r="V1735" s="1957"/>
      <c r="W1735" s="1957"/>
      <c r="X1735" s="1957"/>
      <c r="Y1735" s="2000">
        <f t="shared" ref="Y1735:Z1738" si="499">Q1735</f>
        <v>0</v>
      </c>
      <c r="Z1735" s="1982">
        <f t="shared" si="499"/>
        <v>38408674</v>
      </c>
      <c r="AA1735" s="1989">
        <f>M1735+Q1735</f>
        <v>160</v>
      </c>
      <c r="AB1735" s="1982">
        <f>N1735+Z1735</f>
        <v>161342249</v>
      </c>
      <c r="AC1735" s="1989">
        <f t="shared" ref="AC1735:AC1739" si="500">AA1735/K1735*100</f>
        <v>29.906542056074763</v>
      </c>
      <c r="AD1735" s="1968">
        <f>AB1735/L1735*100</f>
        <v>9.8379420121951213</v>
      </c>
      <c r="AE1735" s="1957"/>
    </row>
    <row r="1736" spans="1:31" ht="38.25">
      <c r="A1736" s="497"/>
      <c r="B1736" s="383"/>
      <c r="C1736" s="1935" t="s">
        <v>66</v>
      </c>
      <c r="D1736" s="1236" t="s">
        <v>2558</v>
      </c>
      <c r="E1736" s="1236" t="s">
        <v>107</v>
      </c>
      <c r="F1736" s="1236" t="s">
        <v>66</v>
      </c>
      <c r="G1736" s="1236" t="s">
        <v>178</v>
      </c>
      <c r="H1736" s="1236" t="s">
        <v>95</v>
      </c>
      <c r="I1736" s="384" t="s">
        <v>2739</v>
      </c>
      <c r="J1736" s="754" t="s">
        <v>2740</v>
      </c>
      <c r="K1736" s="64">
        <v>45</v>
      </c>
      <c r="L1736" s="1938">
        <v>550000000</v>
      </c>
      <c r="M1736" s="1939"/>
      <c r="N1736" s="64"/>
      <c r="O1736" s="64">
        <v>45</v>
      </c>
      <c r="P1736" s="1971">
        <v>99054498.5</v>
      </c>
      <c r="Q1736" s="1959"/>
      <c r="R1736" s="1940">
        <v>13833318</v>
      </c>
      <c r="S1736" s="64"/>
      <c r="T1736" s="64"/>
      <c r="U1736" s="64"/>
      <c r="V1736" s="64"/>
      <c r="W1736" s="64"/>
      <c r="X1736" s="64"/>
      <c r="Y1736" s="1959">
        <f t="shared" si="499"/>
        <v>0</v>
      </c>
      <c r="Z1736" s="1942">
        <f t="shared" si="499"/>
        <v>13833318</v>
      </c>
      <c r="AA1736" s="1939">
        <f>M1736+Q1736</f>
        <v>0</v>
      </c>
      <c r="AB1736" s="1944">
        <f>N1736+Z1736</f>
        <v>13833318</v>
      </c>
      <c r="AC1736" s="1939">
        <f t="shared" si="500"/>
        <v>0</v>
      </c>
      <c r="AD1736" s="2041">
        <f>AB1736/L1736*100</f>
        <v>2.5151487272727273</v>
      </c>
      <c r="AE1736" s="64" t="s">
        <v>2718</v>
      </c>
    </row>
    <row r="1737" spans="1:31" ht="63.75">
      <c r="A1737" s="497"/>
      <c r="B1737" s="383"/>
      <c r="C1737" s="1935" t="s">
        <v>66</v>
      </c>
      <c r="D1737" s="1236" t="s">
        <v>2558</v>
      </c>
      <c r="E1737" s="1236" t="s">
        <v>107</v>
      </c>
      <c r="F1737" s="1236" t="s">
        <v>66</v>
      </c>
      <c r="G1737" s="1236" t="s">
        <v>178</v>
      </c>
      <c r="H1737" s="1236" t="s">
        <v>93</v>
      </c>
      <c r="I1737" s="384" t="s">
        <v>2741</v>
      </c>
      <c r="J1737" s="754" t="s">
        <v>2742</v>
      </c>
      <c r="K1737" s="1938">
        <f>12*3</f>
        <v>36</v>
      </c>
      <c r="L1737" s="1947">
        <v>220000000</v>
      </c>
      <c r="M1737" s="1939">
        <v>24</v>
      </c>
      <c r="N1737" s="1940">
        <f>67515113+55418462</f>
        <v>122933575</v>
      </c>
      <c r="O1737" s="1938">
        <v>12</v>
      </c>
      <c r="P1737" s="1971">
        <v>42117862.25</v>
      </c>
      <c r="Q1737" s="1959"/>
      <c r="R1737" s="1940">
        <v>2213980</v>
      </c>
      <c r="S1737" s="64"/>
      <c r="T1737" s="64"/>
      <c r="U1737" s="64"/>
      <c r="V1737" s="64"/>
      <c r="W1737" s="64"/>
      <c r="X1737" s="64"/>
      <c r="Y1737" s="1959">
        <f t="shared" si="499"/>
        <v>0</v>
      </c>
      <c r="Z1737" s="1942">
        <f t="shared" si="499"/>
        <v>2213980</v>
      </c>
      <c r="AA1737" s="1939">
        <f>M1737+Q1737</f>
        <v>24</v>
      </c>
      <c r="AB1737" s="1944">
        <f>N1737+Z1737</f>
        <v>125147555</v>
      </c>
      <c r="AC1737" s="1939">
        <f t="shared" si="500"/>
        <v>66.666666666666657</v>
      </c>
      <c r="AD1737" s="2041">
        <f>AB1737/L1737*100</f>
        <v>56.885252272727271</v>
      </c>
      <c r="AE1737" s="754" t="s">
        <v>2668</v>
      </c>
    </row>
    <row r="1738" spans="1:31" ht="51">
      <c r="A1738" s="497"/>
      <c r="B1738" s="383"/>
      <c r="C1738" s="1935" t="s">
        <v>66</v>
      </c>
      <c r="D1738" s="1236" t="s">
        <v>2558</v>
      </c>
      <c r="E1738" s="1236" t="s">
        <v>107</v>
      </c>
      <c r="F1738" s="1236" t="s">
        <v>66</v>
      </c>
      <c r="G1738" s="1236" t="s">
        <v>178</v>
      </c>
      <c r="H1738" s="1236" t="s">
        <v>201</v>
      </c>
      <c r="I1738" s="384" t="s">
        <v>2743</v>
      </c>
      <c r="J1738" s="754" t="s">
        <v>2744</v>
      </c>
      <c r="K1738" s="2021">
        <v>80</v>
      </c>
      <c r="L1738" s="2022">
        <v>660000000</v>
      </c>
      <c r="M1738" s="1939">
        <v>20</v>
      </c>
      <c r="N1738" s="1940">
        <v>81589450</v>
      </c>
      <c r="O1738" s="754">
        <v>60</v>
      </c>
      <c r="P1738" s="1941">
        <v>101803084.75</v>
      </c>
      <c r="Q1738" s="1959"/>
      <c r="R1738" s="1940">
        <v>7272576</v>
      </c>
      <c r="S1738" s="64"/>
      <c r="T1738" s="64"/>
      <c r="U1738" s="64"/>
      <c r="V1738" s="64"/>
      <c r="W1738" s="64"/>
      <c r="X1738" s="64"/>
      <c r="Y1738" s="1959">
        <f t="shared" si="499"/>
        <v>0</v>
      </c>
      <c r="Z1738" s="1942">
        <f t="shared" si="499"/>
        <v>7272576</v>
      </c>
      <c r="AA1738" s="1939">
        <f>M1738+Q1738</f>
        <v>20</v>
      </c>
      <c r="AB1738" s="1944">
        <f>N1738+Z1738</f>
        <v>88862026</v>
      </c>
      <c r="AC1738" s="1939">
        <f t="shared" si="500"/>
        <v>25</v>
      </c>
      <c r="AD1738" s="2041">
        <f>AB1738/L1738*100</f>
        <v>13.463943333333333</v>
      </c>
      <c r="AE1738" s="64" t="s">
        <v>2718</v>
      </c>
    </row>
    <row r="1739" spans="1:31" ht="25.5">
      <c r="A1739" s="497"/>
      <c r="B1739" s="383"/>
      <c r="C1739" s="1935" t="s">
        <v>66</v>
      </c>
      <c r="D1739" s="1236" t="s">
        <v>2558</v>
      </c>
      <c r="E1739" s="1236" t="s">
        <v>107</v>
      </c>
      <c r="F1739" s="1236" t="s">
        <v>66</v>
      </c>
      <c r="G1739" s="1236" t="s">
        <v>178</v>
      </c>
      <c r="H1739" s="1236" t="s">
        <v>155</v>
      </c>
      <c r="I1739" s="384" t="s">
        <v>2745</v>
      </c>
      <c r="J1739" s="754" t="s">
        <v>2746</v>
      </c>
      <c r="K1739" s="1938">
        <v>6</v>
      </c>
      <c r="L1739" s="1947">
        <v>210000000</v>
      </c>
      <c r="M1739" s="1939">
        <v>4</v>
      </c>
      <c r="N1739" s="1940">
        <f>49137581+58779224</f>
        <v>107916805</v>
      </c>
      <c r="O1739" s="64">
        <v>2</v>
      </c>
      <c r="P1739" s="1941">
        <v>48356900</v>
      </c>
      <c r="Q1739" s="1959"/>
      <c r="R1739" s="1940">
        <v>15088800</v>
      </c>
      <c r="S1739" s="64"/>
      <c r="T1739" s="64"/>
      <c r="U1739" s="64"/>
      <c r="V1739" s="64"/>
      <c r="W1739" s="64"/>
      <c r="X1739" s="64"/>
      <c r="Y1739" s="1959">
        <f>Q1739</f>
        <v>0</v>
      </c>
      <c r="Z1739" s="64"/>
      <c r="AA1739" s="1939">
        <f>M1739+Q1739</f>
        <v>4</v>
      </c>
      <c r="AB1739" s="1944">
        <f>N1739+Z1739</f>
        <v>107916805</v>
      </c>
      <c r="AC1739" s="1939">
        <f t="shared" si="500"/>
        <v>66.666666666666657</v>
      </c>
      <c r="AD1739" s="2041">
        <f>AB1739/L1739*100</f>
        <v>51.388954761904756</v>
      </c>
      <c r="AE1739" s="754" t="s">
        <v>2616</v>
      </c>
    </row>
    <row r="1740" spans="1:31">
      <c r="A1740" s="2601" t="s">
        <v>2532</v>
      </c>
      <c r="B1740" s="2602"/>
      <c r="C1740" s="2602"/>
      <c r="D1740" s="2602"/>
      <c r="E1740" s="2602"/>
      <c r="F1740" s="2602"/>
      <c r="G1740" s="2602"/>
      <c r="H1740" s="2602"/>
      <c r="I1740" s="2602"/>
      <c r="J1740" s="2602"/>
      <c r="K1740" s="2602"/>
      <c r="L1740" s="2602"/>
      <c r="M1740" s="2602"/>
      <c r="N1740" s="2602"/>
      <c r="O1740" s="2602"/>
      <c r="P1740" s="2602"/>
      <c r="Q1740" s="2602"/>
      <c r="R1740" s="2602"/>
      <c r="S1740" s="2602"/>
      <c r="T1740" s="2602"/>
      <c r="U1740" s="2602"/>
      <c r="V1740" s="2602"/>
      <c r="W1740" s="2602"/>
      <c r="X1740" s="2602"/>
      <c r="Y1740" s="2602"/>
      <c r="Z1740" s="2602"/>
      <c r="AA1740" s="2602"/>
      <c r="AB1740" s="2603"/>
      <c r="AC1740" s="2026">
        <f>SUM(AC1736:AC1739)/4</f>
        <v>39.583333333333329</v>
      </c>
      <c r="AD1740" s="2043">
        <f>SUM(AD1736:AD1739)/4</f>
        <v>31.063324773809523</v>
      </c>
      <c r="AE1740" s="64"/>
    </row>
    <row r="1741" spans="1:31">
      <c r="A1741" s="2601" t="s">
        <v>2533</v>
      </c>
      <c r="B1741" s="2602"/>
      <c r="C1741" s="2602"/>
      <c r="D1741" s="2602"/>
      <c r="E1741" s="2602"/>
      <c r="F1741" s="2602"/>
      <c r="G1741" s="2602"/>
      <c r="H1741" s="2602"/>
      <c r="I1741" s="2602"/>
      <c r="J1741" s="2602"/>
      <c r="K1741" s="2602"/>
      <c r="L1741" s="2602"/>
      <c r="M1741" s="2602"/>
      <c r="N1741" s="2602"/>
      <c r="O1741" s="2602"/>
      <c r="P1741" s="2602"/>
      <c r="Q1741" s="2602"/>
      <c r="R1741" s="2602"/>
      <c r="S1741" s="2602"/>
      <c r="T1741" s="2602"/>
      <c r="U1741" s="2602"/>
      <c r="V1741" s="2602"/>
      <c r="W1741" s="2602"/>
      <c r="X1741" s="2602"/>
      <c r="Y1741" s="2602"/>
      <c r="Z1741" s="2602"/>
      <c r="AA1741" s="2602"/>
      <c r="AB1741" s="2603"/>
      <c r="AC1741" s="2026" t="s">
        <v>2534</v>
      </c>
      <c r="AD1741" s="2028" t="s">
        <v>2534</v>
      </c>
      <c r="AE1741" s="64"/>
    </row>
    <row r="1742" spans="1:31" s="63" customFormat="1" ht="76.5">
      <c r="A1742" s="495">
        <v>25</v>
      </c>
      <c r="B1742" s="741" t="s">
        <v>2510</v>
      </c>
      <c r="C1742" s="1935" t="s">
        <v>66</v>
      </c>
      <c r="D1742" s="1236" t="s">
        <v>2558</v>
      </c>
      <c r="E1742" s="1236" t="s">
        <v>107</v>
      </c>
      <c r="F1742" s="1236" t="s">
        <v>66</v>
      </c>
      <c r="G1742" s="1236" t="s">
        <v>1133</v>
      </c>
      <c r="H1742" s="1236"/>
      <c r="I1742" s="344" t="s">
        <v>2747</v>
      </c>
      <c r="J1742" s="344" t="s">
        <v>2748</v>
      </c>
      <c r="K1742" s="2131">
        <v>500</v>
      </c>
      <c r="L1742" s="2120">
        <f>L1743+L1744</f>
        <v>12100000000</v>
      </c>
      <c r="M1742" s="2143">
        <f>70+75</f>
        <v>145</v>
      </c>
      <c r="N1742" s="2120">
        <f>N1743+N1744</f>
        <v>3300748088</v>
      </c>
      <c r="O1742" s="2131">
        <v>80</v>
      </c>
      <c r="P1742" s="2125">
        <f>SUM(P1743:P1744)</f>
        <v>1601746500</v>
      </c>
      <c r="Q1742" s="633">
        <v>25</v>
      </c>
      <c r="R1742" s="2125">
        <f>R1743+R1744</f>
        <v>130903800</v>
      </c>
      <c r="S1742" s="616"/>
      <c r="T1742" s="616"/>
      <c r="U1742" s="616"/>
      <c r="V1742" s="616"/>
      <c r="W1742" s="616"/>
      <c r="X1742" s="616"/>
      <c r="Y1742" s="2138">
        <f t="shared" ref="Y1742:Z1744" si="501">Q1742</f>
        <v>25</v>
      </c>
      <c r="Z1742" s="2125">
        <f t="shared" si="501"/>
        <v>130903800</v>
      </c>
      <c r="AA1742" s="633">
        <f>M1742+Q1742</f>
        <v>170</v>
      </c>
      <c r="AB1742" s="2125">
        <f>N1742+Z1742</f>
        <v>3431651888</v>
      </c>
      <c r="AC1742" s="2129">
        <f t="shared" ref="AC1742:AC1744" si="502">AA1742/K1742*100</f>
        <v>34</v>
      </c>
      <c r="AD1742" s="493">
        <f>AB1742/L1742*100</f>
        <v>28.360759404958678</v>
      </c>
      <c r="AE1742" s="616"/>
    </row>
    <row r="1743" spans="1:31" s="63" customFormat="1" ht="51">
      <c r="A1743" s="497"/>
      <c r="B1743" s="383"/>
      <c r="C1743" s="1935" t="s">
        <v>66</v>
      </c>
      <c r="D1743" s="1236" t="s">
        <v>2558</v>
      </c>
      <c r="E1743" s="1236" t="s">
        <v>107</v>
      </c>
      <c r="F1743" s="1236" t="s">
        <v>66</v>
      </c>
      <c r="G1743" s="1236" t="s">
        <v>1133</v>
      </c>
      <c r="H1743" s="1236" t="s">
        <v>66</v>
      </c>
      <c r="I1743" s="741" t="s">
        <v>2749</v>
      </c>
      <c r="J1743" s="1485" t="s">
        <v>2750</v>
      </c>
      <c r="K1743" s="2119">
        <f>12*6</f>
        <v>72</v>
      </c>
      <c r="L1743" s="2144">
        <v>600000000</v>
      </c>
      <c r="M1743" s="2129">
        <v>24</v>
      </c>
      <c r="N1743" s="2047">
        <f>95998500+67814100</f>
        <v>163812600</v>
      </c>
      <c r="O1743" s="2119">
        <v>12</v>
      </c>
      <c r="P1743" s="2047">
        <v>65002500</v>
      </c>
      <c r="Q1743" s="2129">
        <v>3</v>
      </c>
      <c r="R1743" s="2047">
        <v>1400000</v>
      </c>
      <c r="S1743" s="385"/>
      <c r="T1743" s="385"/>
      <c r="U1743" s="385"/>
      <c r="V1743" s="385"/>
      <c r="W1743" s="385"/>
      <c r="X1743" s="385"/>
      <c r="Y1743" s="2129">
        <f t="shared" si="501"/>
        <v>3</v>
      </c>
      <c r="Z1743" s="1944">
        <f t="shared" si="501"/>
        <v>1400000</v>
      </c>
      <c r="AA1743" s="2129">
        <f t="shared" ref="AA1743:AA1744" si="503">M1743+Q1743</f>
        <v>27</v>
      </c>
      <c r="AB1743" s="1944">
        <f>N1743+Z1743</f>
        <v>165212600</v>
      </c>
      <c r="AC1743" s="2129">
        <f t="shared" si="502"/>
        <v>37.5</v>
      </c>
      <c r="AD1743" s="2136">
        <f>AB1743/L1743*100</f>
        <v>27.53543333333333</v>
      </c>
      <c r="AE1743" s="385" t="s">
        <v>2513</v>
      </c>
    </row>
    <row r="1744" spans="1:31" s="63" customFormat="1" ht="38.25">
      <c r="A1744" s="497"/>
      <c r="B1744" s="383"/>
      <c r="C1744" s="1935" t="s">
        <v>66</v>
      </c>
      <c r="D1744" s="1236" t="s">
        <v>2558</v>
      </c>
      <c r="E1744" s="1236" t="s">
        <v>107</v>
      </c>
      <c r="F1744" s="1236" t="s">
        <v>66</v>
      </c>
      <c r="G1744" s="1236" t="s">
        <v>1133</v>
      </c>
      <c r="H1744" s="1236" t="s">
        <v>95</v>
      </c>
      <c r="I1744" s="741" t="s">
        <v>158</v>
      </c>
      <c r="J1744" s="1485" t="s">
        <v>2751</v>
      </c>
      <c r="K1744" s="2119">
        <v>72</v>
      </c>
      <c r="L1744" s="2144">
        <v>11500000000</v>
      </c>
      <c r="M1744" s="2129">
        <v>24</v>
      </c>
      <c r="N1744" s="2047">
        <f>1616906826+1520028662</f>
        <v>3136935488</v>
      </c>
      <c r="O1744" s="2119">
        <v>12</v>
      </c>
      <c r="P1744" s="2047">
        <v>1536744000</v>
      </c>
      <c r="Q1744" s="2129">
        <v>3</v>
      </c>
      <c r="R1744" s="2047">
        <v>129503800</v>
      </c>
      <c r="S1744" s="385"/>
      <c r="T1744" s="385"/>
      <c r="U1744" s="385"/>
      <c r="V1744" s="385"/>
      <c r="W1744" s="385"/>
      <c r="X1744" s="385"/>
      <c r="Y1744" s="2129">
        <f t="shared" si="501"/>
        <v>3</v>
      </c>
      <c r="Z1744" s="1944">
        <f t="shared" si="501"/>
        <v>129503800</v>
      </c>
      <c r="AA1744" s="2129">
        <f t="shared" si="503"/>
        <v>27</v>
      </c>
      <c r="AB1744" s="1944">
        <f>N1744+Z1744</f>
        <v>3266439288</v>
      </c>
      <c r="AC1744" s="2129">
        <f t="shared" si="502"/>
        <v>37.5</v>
      </c>
      <c r="AD1744" s="2136">
        <f>AB1744/L1744*100</f>
        <v>28.40381989565217</v>
      </c>
      <c r="AE1744" s="385" t="s">
        <v>2513</v>
      </c>
    </row>
    <row r="1745" spans="1:31" s="63" customFormat="1">
      <c r="A1745" s="2614" t="s">
        <v>2532</v>
      </c>
      <c r="B1745" s="2615"/>
      <c r="C1745" s="2615"/>
      <c r="D1745" s="2615"/>
      <c r="E1745" s="2615"/>
      <c r="F1745" s="2615"/>
      <c r="G1745" s="2615"/>
      <c r="H1745" s="2615"/>
      <c r="I1745" s="2615"/>
      <c r="J1745" s="2615"/>
      <c r="K1745" s="2615"/>
      <c r="L1745" s="2615"/>
      <c r="M1745" s="2615"/>
      <c r="N1745" s="2615"/>
      <c r="O1745" s="2615"/>
      <c r="P1745" s="2615"/>
      <c r="Q1745" s="2615"/>
      <c r="R1745" s="2615"/>
      <c r="S1745" s="2615"/>
      <c r="T1745" s="2615"/>
      <c r="U1745" s="2615"/>
      <c r="V1745" s="2615"/>
      <c r="W1745" s="2615"/>
      <c r="X1745" s="2615"/>
      <c r="Y1745" s="2615"/>
      <c r="Z1745" s="2615"/>
      <c r="AA1745" s="2615"/>
      <c r="AB1745" s="2616"/>
      <c r="AC1745" s="2145">
        <f>SUM(AC1743:AC1744)/2</f>
        <v>37.5</v>
      </c>
      <c r="AD1745" s="2146">
        <f>SUM(AD1743:AD1744)/2</f>
        <v>27.96962661449275</v>
      </c>
      <c r="AE1745" s="385"/>
    </row>
    <row r="1746" spans="1:31" s="63" customFormat="1">
      <c r="A1746" s="2614" t="s">
        <v>2533</v>
      </c>
      <c r="B1746" s="2615"/>
      <c r="C1746" s="2615"/>
      <c r="D1746" s="2615"/>
      <c r="E1746" s="2615"/>
      <c r="F1746" s="2615"/>
      <c r="G1746" s="2615"/>
      <c r="H1746" s="2615"/>
      <c r="I1746" s="2615"/>
      <c r="J1746" s="2615"/>
      <c r="K1746" s="2615"/>
      <c r="L1746" s="2615"/>
      <c r="M1746" s="2615"/>
      <c r="N1746" s="2615"/>
      <c r="O1746" s="2615"/>
      <c r="P1746" s="2615"/>
      <c r="Q1746" s="2615"/>
      <c r="R1746" s="2615"/>
      <c r="S1746" s="2615"/>
      <c r="T1746" s="2615"/>
      <c r="U1746" s="2615"/>
      <c r="V1746" s="2615"/>
      <c r="W1746" s="2615"/>
      <c r="X1746" s="2615"/>
      <c r="Y1746" s="2615"/>
      <c r="Z1746" s="2615"/>
      <c r="AA1746" s="2615"/>
      <c r="AB1746" s="2616"/>
      <c r="AC1746" s="2145" t="s">
        <v>2534</v>
      </c>
      <c r="AD1746" s="697" t="s">
        <v>2534</v>
      </c>
      <c r="AE1746" s="385"/>
    </row>
    <row r="1747" spans="1:31" s="63" customFormat="1" ht="38.25">
      <c r="A1747" s="495">
        <v>26</v>
      </c>
      <c r="B1747" s="741" t="s">
        <v>2510</v>
      </c>
      <c r="C1747" s="1935" t="s">
        <v>66</v>
      </c>
      <c r="D1747" s="1236" t="s">
        <v>2558</v>
      </c>
      <c r="E1747" s="1236" t="s">
        <v>107</v>
      </c>
      <c r="F1747" s="1236" t="s">
        <v>66</v>
      </c>
      <c r="G1747" s="1236" t="s">
        <v>403</v>
      </c>
      <c r="H1747" s="1236"/>
      <c r="I1747" s="344" t="s">
        <v>2752</v>
      </c>
      <c r="J1747" s="1471" t="s">
        <v>2753</v>
      </c>
      <c r="K1747" s="2131">
        <v>500</v>
      </c>
      <c r="L1747" s="2120">
        <f>L1748</f>
        <v>1679000000</v>
      </c>
      <c r="M1747" s="2143">
        <f>70+75</f>
        <v>145</v>
      </c>
      <c r="N1747" s="2125">
        <f>N1748</f>
        <v>557651858</v>
      </c>
      <c r="O1747" s="2131">
        <v>80</v>
      </c>
      <c r="P1747" s="2125">
        <f>P1748</f>
        <v>226500000</v>
      </c>
      <c r="Q1747" s="633">
        <v>25</v>
      </c>
      <c r="R1747" s="2125">
        <f>R1748</f>
        <v>22000000</v>
      </c>
      <c r="S1747" s="616"/>
      <c r="T1747" s="616"/>
      <c r="U1747" s="616"/>
      <c r="V1747" s="616"/>
      <c r="W1747" s="616"/>
      <c r="X1747" s="616"/>
      <c r="Y1747" s="633">
        <f>Q1747</f>
        <v>25</v>
      </c>
      <c r="Z1747" s="1944">
        <f>R1747</f>
        <v>22000000</v>
      </c>
      <c r="AA1747" s="2129">
        <f>M1747+Q1747</f>
        <v>170</v>
      </c>
      <c r="AB1747" s="1944">
        <f>N1747+Z1747</f>
        <v>579651858</v>
      </c>
      <c r="AC1747" s="2129">
        <f t="shared" ref="AC1747:AC1748" si="504">AA1747/K1747*100</f>
        <v>34</v>
      </c>
      <c r="AD1747" s="2136">
        <f>AB1747/L1747*100</f>
        <v>34.523636569386539</v>
      </c>
      <c r="AE1747" s="616"/>
    </row>
    <row r="1748" spans="1:31" s="63" customFormat="1" ht="38.25">
      <c r="A1748" s="497"/>
      <c r="B1748" s="383"/>
      <c r="C1748" s="1935" t="s">
        <v>66</v>
      </c>
      <c r="D1748" s="1236" t="s">
        <v>2558</v>
      </c>
      <c r="E1748" s="1236" t="s">
        <v>107</v>
      </c>
      <c r="F1748" s="1236" t="s">
        <v>66</v>
      </c>
      <c r="G1748" s="1236" t="s">
        <v>403</v>
      </c>
      <c r="H1748" s="1236" t="s">
        <v>66</v>
      </c>
      <c r="I1748" s="741" t="s">
        <v>2754</v>
      </c>
      <c r="J1748" s="1485" t="s">
        <v>2755</v>
      </c>
      <c r="K1748" s="2119">
        <v>400</v>
      </c>
      <c r="L1748" s="2144">
        <v>1679000000</v>
      </c>
      <c r="M1748" s="2147">
        <v>130</v>
      </c>
      <c r="N1748" s="2047">
        <f>290902290+266749568</f>
        <v>557651858</v>
      </c>
      <c r="O1748" s="2119">
        <v>65</v>
      </c>
      <c r="P1748" s="2047">
        <v>226500000</v>
      </c>
      <c r="Q1748" s="2129">
        <v>15</v>
      </c>
      <c r="R1748" s="2047">
        <v>22000000</v>
      </c>
      <c r="S1748" s="385"/>
      <c r="T1748" s="385"/>
      <c r="U1748" s="385"/>
      <c r="V1748" s="385"/>
      <c r="W1748" s="385"/>
      <c r="X1748" s="385"/>
      <c r="Y1748" s="2129">
        <f>Q1748</f>
        <v>15</v>
      </c>
      <c r="Z1748" s="1944">
        <f>R1748</f>
        <v>22000000</v>
      </c>
      <c r="AA1748" s="2129">
        <f>M1748+Q1748</f>
        <v>145</v>
      </c>
      <c r="AB1748" s="1944">
        <f>N1748+Z1748</f>
        <v>579651858</v>
      </c>
      <c r="AC1748" s="2129">
        <f t="shared" si="504"/>
        <v>36.25</v>
      </c>
      <c r="AD1748" s="2136">
        <f>AB1748/L1748*100</f>
        <v>34.523636569386539</v>
      </c>
      <c r="AE1748" s="385" t="s">
        <v>2513</v>
      </c>
    </row>
    <row r="1749" spans="1:31" s="63" customFormat="1">
      <c r="A1749" s="2614" t="s">
        <v>2532</v>
      </c>
      <c r="B1749" s="2615"/>
      <c r="C1749" s="2615"/>
      <c r="D1749" s="2615"/>
      <c r="E1749" s="2615"/>
      <c r="F1749" s="2615"/>
      <c r="G1749" s="2615"/>
      <c r="H1749" s="2615"/>
      <c r="I1749" s="2615"/>
      <c r="J1749" s="2615"/>
      <c r="K1749" s="2615"/>
      <c r="L1749" s="2615"/>
      <c r="M1749" s="2615"/>
      <c r="N1749" s="2615"/>
      <c r="O1749" s="2615"/>
      <c r="P1749" s="2615"/>
      <c r="Q1749" s="2615"/>
      <c r="R1749" s="2615"/>
      <c r="S1749" s="2615"/>
      <c r="T1749" s="2615"/>
      <c r="U1749" s="2615"/>
      <c r="V1749" s="2615"/>
      <c r="W1749" s="2615"/>
      <c r="X1749" s="2615"/>
      <c r="Y1749" s="2615"/>
      <c r="Z1749" s="2615"/>
      <c r="AA1749" s="2615"/>
      <c r="AB1749" s="2616"/>
      <c r="AC1749" s="616">
        <f>AC1748</f>
        <v>36.25</v>
      </c>
      <c r="AD1749" s="2140">
        <f>AD1748</f>
        <v>34.523636569386539</v>
      </c>
      <c r="AE1749" s="385"/>
    </row>
    <row r="1750" spans="1:31" s="63" customFormat="1">
      <c r="A1750" s="2614" t="s">
        <v>2533</v>
      </c>
      <c r="B1750" s="2615"/>
      <c r="C1750" s="2615"/>
      <c r="D1750" s="2615"/>
      <c r="E1750" s="2615"/>
      <c r="F1750" s="2615"/>
      <c r="G1750" s="2615"/>
      <c r="H1750" s="2615"/>
      <c r="I1750" s="2615"/>
      <c r="J1750" s="2615"/>
      <c r="K1750" s="2615"/>
      <c r="L1750" s="2615"/>
      <c r="M1750" s="2615"/>
      <c r="N1750" s="2615"/>
      <c r="O1750" s="2615"/>
      <c r="P1750" s="2615"/>
      <c r="Q1750" s="2615"/>
      <c r="R1750" s="2615"/>
      <c r="S1750" s="2615"/>
      <c r="T1750" s="2615"/>
      <c r="U1750" s="2615"/>
      <c r="V1750" s="2615"/>
      <c r="W1750" s="2615"/>
      <c r="X1750" s="2615"/>
      <c r="Y1750" s="2615"/>
      <c r="Z1750" s="2615"/>
      <c r="AA1750" s="2615"/>
      <c r="AB1750" s="2616"/>
      <c r="AC1750" s="2145" t="s">
        <v>2534</v>
      </c>
      <c r="AD1750" s="697" t="s">
        <v>2534</v>
      </c>
      <c r="AE1750" s="385"/>
    </row>
    <row r="1751" spans="1:31" s="63" customFormat="1" ht="102">
      <c r="A1751" s="495">
        <v>27</v>
      </c>
      <c r="B1751" s="741" t="s">
        <v>2611</v>
      </c>
      <c r="C1751" s="1935" t="s">
        <v>66</v>
      </c>
      <c r="D1751" s="1236" t="s">
        <v>2558</v>
      </c>
      <c r="E1751" s="1236" t="s">
        <v>107</v>
      </c>
      <c r="F1751" s="1236" t="s">
        <v>66</v>
      </c>
      <c r="G1751" s="1236" t="s">
        <v>1087</v>
      </c>
      <c r="H1751" s="1236"/>
      <c r="I1751" s="383" t="s">
        <v>2756</v>
      </c>
      <c r="J1751" s="1471" t="s">
        <v>2757</v>
      </c>
      <c r="K1751" s="2131">
        <v>510</v>
      </c>
      <c r="L1751" s="2120">
        <f>L1752</f>
        <v>2350000000</v>
      </c>
      <c r="M1751" s="2131">
        <f>70+75</f>
        <v>145</v>
      </c>
      <c r="N1751" s="2125">
        <f>N1752</f>
        <v>450993872</v>
      </c>
      <c r="O1751" s="2131">
        <v>85</v>
      </c>
      <c r="P1751" s="2125">
        <f>P1752</f>
        <v>94304068</v>
      </c>
      <c r="Q1751" s="633">
        <v>50</v>
      </c>
      <c r="R1751" s="2121">
        <f>R1752</f>
        <v>13783200</v>
      </c>
      <c r="S1751" s="616"/>
      <c r="T1751" s="616"/>
      <c r="U1751" s="616"/>
      <c r="V1751" s="616"/>
      <c r="W1751" s="616"/>
      <c r="X1751" s="616"/>
      <c r="Y1751" s="633">
        <f t="shared" ref="Y1751:Y1752" si="505">Q1751</f>
        <v>50</v>
      </c>
      <c r="Z1751" s="2125">
        <f>R1751</f>
        <v>13783200</v>
      </c>
      <c r="AA1751" s="633">
        <f t="shared" ref="AA1751:AA1752" si="506">M1751+Q1751</f>
        <v>195</v>
      </c>
      <c r="AB1751" s="2125">
        <f t="shared" ref="AB1751:AB1752" si="507">N1751+Z1751</f>
        <v>464777072</v>
      </c>
      <c r="AC1751" s="633">
        <f t="shared" ref="AC1751:AC1752" si="508">AA1751/K1751*100</f>
        <v>38.235294117647058</v>
      </c>
      <c r="AD1751" s="2140">
        <f>AB1751/L1751*100</f>
        <v>19.777747744680852</v>
      </c>
      <c r="AE1751" s="616"/>
    </row>
    <row r="1752" spans="1:31" s="63" customFormat="1" ht="38.25">
      <c r="A1752" s="497"/>
      <c r="B1752" s="383"/>
      <c r="C1752" s="1935" t="s">
        <v>66</v>
      </c>
      <c r="D1752" s="1236" t="s">
        <v>2558</v>
      </c>
      <c r="E1752" s="1236" t="s">
        <v>107</v>
      </c>
      <c r="F1752" s="1236" t="s">
        <v>66</v>
      </c>
      <c r="G1752" s="1236" t="s">
        <v>1087</v>
      </c>
      <c r="H1752" s="1236" t="s">
        <v>66</v>
      </c>
      <c r="I1752" s="384" t="s">
        <v>2758</v>
      </c>
      <c r="J1752" s="1485" t="s">
        <v>2759</v>
      </c>
      <c r="K1752" s="2148">
        <v>58</v>
      </c>
      <c r="L1752" s="2144">
        <v>2350000000</v>
      </c>
      <c r="M1752" s="2149">
        <v>12</v>
      </c>
      <c r="N1752" s="2047">
        <f>237987414+213006458</f>
        <v>450993872</v>
      </c>
      <c r="O1752" s="2148">
        <v>6</v>
      </c>
      <c r="P1752" s="2047">
        <v>94304068</v>
      </c>
      <c r="Q1752" s="2129">
        <v>3</v>
      </c>
      <c r="R1752" s="2047">
        <v>13783200</v>
      </c>
      <c r="S1752" s="385"/>
      <c r="T1752" s="385"/>
      <c r="U1752" s="385"/>
      <c r="V1752" s="385"/>
      <c r="W1752" s="385"/>
      <c r="X1752" s="385"/>
      <c r="Y1752" s="2129">
        <f t="shared" si="505"/>
        <v>3</v>
      </c>
      <c r="Z1752" s="1944">
        <f>R1752</f>
        <v>13783200</v>
      </c>
      <c r="AA1752" s="2129">
        <f t="shared" si="506"/>
        <v>15</v>
      </c>
      <c r="AB1752" s="1944">
        <f t="shared" si="507"/>
        <v>464777072</v>
      </c>
      <c r="AC1752" s="2129">
        <f t="shared" si="508"/>
        <v>25.862068965517242</v>
      </c>
      <c r="AD1752" s="2136">
        <f>AB1752/L1752*100</f>
        <v>19.777747744680852</v>
      </c>
      <c r="AE1752" s="385" t="s">
        <v>2589</v>
      </c>
    </row>
    <row r="1753" spans="1:31" s="63" customFormat="1">
      <c r="A1753" s="2614" t="s">
        <v>2532</v>
      </c>
      <c r="B1753" s="2615"/>
      <c r="C1753" s="2615"/>
      <c r="D1753" s="2615"/>
      <c r="E1753" s="2615"/>
      <c r="F1753" s="2615"/>
      <c r="G1753" s="2615"/>
      <c r="H1753" s="2615"/>
      <c r="I1753" s="2615"/>
      <c r="J1753" s="2615"/>
      <c r="K1753" s="2615"/>
      <c r="L1753" s="2615"/>
      <c r="M1753" s="2615"/>
      <c r="N1753" s="2615"/>
      <c r="O1753" s="2615"/>
      <c r="P1753" s="2615"/>
      <c r="Q1753" s="2615"/>
      <c r="R1753" s="2615"/>
      <c r="S1753" s="2615"/>
      <c r="T1753" s="2615"/>
      <c r="U1753" s="2615"/>
      <c r="V1753" s="2615"/>
      <c r="W1753" s="2615"/>
      <c r="X1753" s="2615"/>
      <c r="Y1753" s="2615"/>
      <c r="Z1753" s="2615"/>
      <c r="AA1753" s="2615"/>
      <c r="AB1753" s="2616"/>
      <c r="AC1753" s="2145">
        <f>AC1752</f>
        <v>25.862068965517242</v>
      </c>
      <c r="AD1753" s="2150">
        <f>AD1752</f>
        <v>19.777747744680852</v>
      </c>
      <c r="AE1753" s="385"/>
    </row>
    <row r="1754" spans="1:31" s="63" customFormat="1">
      <c r="A1754" s="2614" t="s">
        <v>2533</v>
      </c>
      <c r="B1754" s="2615"/>
      <c r="C1754" s="2615"/>
      <c r="D1754" s="2615"/>
      <c r="E1754" s="2615"/>
      <c r="F1754" s="2615"/>
      <c r="G1754" s="2615"/>
      <c r="H1754" s="2615"/>
      <c r="I1754" s="2615"/>
      <c r="J1754" s="2615"/>
      <c r="K1754" s="2615"/>
      <c r="L1754" s="2615"/>
      <c r="M1754" s="2615"/>
      <c r="N1754" s="2615"/>
      <c r="O1754" s="2615"/>
      <c r="P1754" s="2615"/>
      <c r="Q1754" s="2615"/>
      <c r="R1754" s="2615"/>
      <c r="S1754" s="2615"/>
      <c r="T1754" s="2615"/>
      <c r="U1754" s="2615"/>
      <c r="V1754" s="2615"/>
      <c r="W1754" s="2615"/>
      <c r="X1754" s="2615"/>
      <c r="Y1754" s="2615"/>
      <c r="Z1754" s="2615"/>
      <c r="AA1754" s="2615"/>
      <c r="AB1754" s="2616"/>
      <c r="AC1754" s="2145" t="s">
        <v>2534</v>
      </c>
      <c r="AD1754" s="2145" t="s">
        <v>2534</v>
      </c>
      <c r="AE1754" s="385"/>
    </row>
    <row r="1755" spans="1:31" s="63" customFormat="1" ht="102">
      <c r="A1755" s="495">
        <v>28</v>
      </c>
      <c r="B1755" s="741" t="s">
        <v>2611</v>
      </c>
      <c r="C1755" s="1935" t="s">
        <v>66</v>
      </c>
      <c r="D1755" s="1236" t="s">
        <v>2558</v>
      </c>
      <c r="E1755" s="1236" t="s">
        <v>107</v>
      </c>
      <c r="F1755" s="1236" t="s">
        <v>66</v>
      </c>
      <c r="G1755" s="1236" t="s">
        <v>347</v>
      </c>
      <c r="H1755" s="1236"/>
      <c r="I1755" s="383" t="s">
        <v>2760</v>
      </c>
      <c r="J1755" s="1471" t="s">
        <v>2761</v>
      </c>
      <c r="K1755" s="2131">
        <v>190</v>
      </c>
      <c r="L1755" s="2151">
        <f>SUM(L1761:L1777)</f>
        <v>5269000000</v>
      </c>
      <c r="M1755" s="2131"/>
      <c r="N1755" s="2151">
        <f>SUM(N1761:N1777)</f>
        <v>1153023825</v>
      </c>
      <c r="O1755" s="2131">
        <v>30</v>
      </c>
      <c r="P1755" s="2123">
        <f>SUM(P1761:P1777)</f>
        <v>675696388.45000005</v>
      </c>
      <c r="Q1755" s="633">
        <v>15</v>
      </c>
      <c r="R1755" s="2123">
        <f>SUM(R1761:R1777)</f>
        <v>93024500</v>
      </c>
      <c r="S1755" s="616"/>
      <c r="T1755" s="616"/>
      <c r="U1755" s="616"/>
      <c r="V1755" s="616"/>
      <c r="W1755" s="616"/>
      <c r="X1755" s="616"/>
      <c r="Y1755" s="633">
        <f>Q1755</f>
        <v>15</v>
      </c>
      <c r="Z1755" s="1944">
        <f>R1755</f>
        <v>93024500</v>
      </c>
      <c r="AA1755" s="2129">
        <f t="shared" ref="AA1755:AA1763" si="509">M1755+Q1755</f>
        <v>15</v>
      </c>
      <c r="AB1755" s="2123">
        <f>SUM(AB1761:AB1777)</f>
        <v>1246048325</v>
      </c>
      <c r="AC1755" s="493">
        <f t="shared" ref="AC1755:AC1763" si="510">AA1755/K1755*100</f>
        <v>7.8947368421052628</v>
      </c>
      <c r="AD1755" s="2152">
        <f>AB1755/L1755*100</f>
        <v>23.648668153349782</v>
      </c>
      <c r="AE1755" s="616"/>
    </row>
    <row r="1756" spans="1:31" s="63" customFormat="1" ht="51">
      <c r="A1756" s="497"/>
      <c r="B1756" s="383"/>
      <c r="C1756" s="1935"/>
      <c r="D1756" s="1236"/>
      <c r="E1756" s="1236"/>
      <c r="F1756" s="1236"/>
      <c r="G1756" s="1236"/>
      <c r="H1756" s="1236"/>
      <c r="I1756" s="2153"/>
      <c r="J1756" s="1471" t="s">
        <v>2762</v>
      </c>
      <c r="K1756" s="2131">
        <v>400</v>
      </c>
      <c r="L1756" s="495"/>
      <c r="M1756" s="2143"/>
      <c r="N1756" s="495"/>
      <c r="O1756" s="2131">
        <v>100</v>
      </c>
      <c r="P1756" s="2123"/>
      <c r="Q1756" s="616">
        <v>40</v>
      </c>
      <c r="R1756" s="2123"/>
      <c r="S1756" s="616"/>
      <c r="T1756" s="616"/>
      <c r="U1756" s="616"/>
      <c r="V1756" s="616"/>
      <c r="W1756" s="616"/>
      <c r="X1756" s="616"/>
      <c r="Y1756" s="633">
        <f t="shared" ref="Y1756:Y1762" si="511">Q1756</f>
        <v>40</v>
      </c>
      <c r="Z1756" s="616"/>
      <c r="AA1756" s="633">
        <f t="shared" si="509"/>
        <v>40</v>
      </c>
      <c r="AB1756" s="2123"/>
      <c r="AC1756" s="633">
        <f t="shared" si="510"/>
        <v>10</v>
      </c>
      <c r="AD1756" s="2152"/>
      <c r="AE1756" s="616"/>
    </row>
    <row r="1757" spans="1:31" s="63" customFormat="1" ht="25.5">
      <c r="A1757" s="497"/>
      <c r="B1757" s="383"/>
      <c r="C1757" s="1935"/>
      <c r="D1757" s="1236"/>
      <c r="E1757" s="1236"/>
      <c r="F1757" s="1236"/>
      <c r="G1757" s="1236"/>
      <c r="H1757" s="1236"/>
      <c r="I1757" s="2153"/>
      <c r="J1757" s="1471" t="s">
        <v>2763</v>
      </c>
      <c r="K1757" s="2131">
        <v>80</v>
      </c>
      <c r="L1757" s="495"/>
      <c r="M1757" s="2143"/>
      <c r="N1757" s="495"/>
      <c r="O1757" s="2131">
        <v>17</v>
      </c>
      <c r="P1757" s="2123"/>
      <c r="Q1757" s="616">
        <v>5</v>
      </c>
      <c r="R1757" s="2123"/>
      <c r="S1757" s="616"/>
      <c r="T1757" s="616"/>
      <c r="U1757" s="616"/>
      <c r="V1757" s="616"/>
      <c r="W1757" s="616"/>
      <c r="X1757" s="616"/>
      <c r="Y1757" s="633">
        <f t="shared" si="511"/>
        <v>5</v>
      </c>
      <c r="Z1757" s="616"/>
      <c r="AA1757" s="633">
        <f t="shared" si="509"/>
        <v>5</v>
      </c>
      <c r="AB1757" s="2123"/>
      <c r="AC1757" s="633">
        <f t="shared" si="510"/>
        <v>6.25</v>
      </c>
      <c r="AD1757" s="389"/>
      <c r="AE1757" s="616"/>
    </row>
    <row r="1758" spans="1:31" s="63" customFormat="1" ht="63.75">
      <c r="A1758" s="497"/>
      <c r="B1758" s="383"/>
      <c r="C1758" s="1935"/>
      <c r="D1758" s="1236"/>
      <c r="E1758" s="1236"/>
      <c r="F1758" s="1236"/>
      <c r="G1758" s="1236"/>
      <c r="H1758" s="1236"/>
      <c r="I1758" s="2153"/>
      <c r="J1758" s="1471" t="s">
        <v>2764</v>
      </c>
      <c r="K1758" s="2131">
        <v>399</v>
      </c>
      <c r="L1758" s="495"/>
      <c r="M1758" s="2143"/>
      <c r="N1758" s="495"/>
      <c r="O1758" s="2131">
        <v>67</v>
      </c>
      <c r="P1758" s="2123"/>
      <c r="Q1758" s="616">
        <v>25</v>
      </c>
      <c r="R1758" s="2123"/>
      <c r="S1758" s="616"/>
      <c r="T1758" s="616"/>
      <c r="U1758" s="616"/>
      <c r="V1758" s="616"/>
      <c r="W1758" s="616"/>
      <c r="X1758" s="616"/>
      <c r="Y1758" s="633">
        <f t="shared" si="511"/>
        <v>25</v>
      </c>
      <c r="Z1758" s="616"/>
      <c r="AA1758" s="633">
        <f t="shared" si="509"/>
        <v>25</v>
      </c>
      <c r="AB1758" s="2123"/>
      <c r="AC1758" s="493">
        <f t="shared" si="510"/>
        <v>6.2656641604010019</v>
      </c>
      <c r="AD1758" s="389"/>
      <c r="AE1758" s="616"/>
    </row>
    <row r="1759" spans="1:31" s="63" customFormat="1" ht="38.25">
      <c r="A1759" s="497"/>
      <c r="B1759" s="383"/>
      <c r="C1759" s="1935"/>
      <c r="D1759" s="1236"/>
      <c r="E1759" s="1236"/>
      <c r="F1759" s="1236"/>
      <c r="G1759" s="1236"/>
      <c r="H1759" s="1236"/>
      <c r="I1759" s="2153"/>
      <c r="J1759" s="1471" t="s">
        <v>2765</v>
      </c>
      <c r="K1759" s="1855">
        <v>78</v>
      </c>
      <c r="L1759" s="495"/>
      <c r="M1759" s="2131">
        <v>1</v>
      </c>
      <c r="N1759" s="495"/>
      <c r="O1759" s="1855">
        <v>14</v>
      </c>
      <c r="P1759" s="2123"/>
      <c r="Q1759" s="616">
        <v>1</v>
      </c>
      <c r="R1759" s="2123"/>
      <c r="S1759" s="616"/>
      <c r="T1759" s="616"/>
      <c r="U1759" s="616"/>
      <c r="V1759" s="616"/>
      <c r="W1759" s="616"/>
      <c r="X1759" s="616"/>
      <c r="Y1759" s="2129">
        <f t="shared" si="511"/>
        <v>1</v>
      </c>
      <c r="Z1759" s="616"/>
      <c r="AA1759" s="633">
        <f t="shared" si="509"/>
        <v>2</v>
      </c>
      <c r="AB1759" s="2123"/>
      <c r="AC1759" s="493">
        <f t="shared" si="510"/>
        <v>2.5641025641025639</v>
      </c>
      <c r="AD1759" s="389"/>
      <c r="AE1759" s="616"/>
    </row>
    <row r="1760" spans="1:31" s="63" customFormat="1" ht="63.75">
      <c r="A1760" s="497"/>
      <c r="B1760" s="383"/>
      <c r="C1760" s="1935"/>
      <c r="D1760" s="1236"/>
      <c r="E1760" s="1236"/>
      <c r="F1760" s="1236"/>
      <c r="G1760" s="1236"/>
      <c r="H1760" s="1236"/>
      <c r="I1760" s="2153"/>
      <c r="J1760" s="1471" t="s">
        <v>2766</v>
      </c>
      <c r="K1760" s="2131">
        <v>450</v>
      </c>
      <c r="L1760" s="2154"/>
      <c r="M1760" s="2131">
        <v>90</v>
      </c>
      <c r="N1760" s="495"/>
      <c r="O1760" s="2131">
        <v>90</v>
      </c>
      <c r="P1760" s="2123"/>
      <c r="Q1760" s="616"/>
      <c r="R1760" s="2123"/>
      <c r="S1760" s="616"/>
      <c r="T1760" s="616"/>
      <c r="U1760" s="616"/>
      <c r="V1760" s="616"/>
      <c r="W1760" s="616"/>
      <c r="X1760" s="616"/>
      <c r="Y1760" s="2129">
        <f t="shared" si="511"/>
        <v>0</v>
      </c>
      <c r="Z1760" s="616"/>
      <c r="AA1760" s="633">
        <f t="shared" si="509"/>
        <v>90</v>
      </c>
      <c r="AB1760" s="2123"/>
      <c r="AC1760" s="493">
        <f t="shared" si="510"/>
        <v>20</v>
      </c>
      <c r="AD1760" s="389"/>
      <c r="AE1760" s="616"/>
    </row>
    <row r="1761" spans="1:31" s="63" customFormat="1" ht="38.25">
      <c r="A1761" s="497"/>
      <c r="B1761" s="383"/>
      <c r="C1761" s="1935" t="s">
        <v>66</v>
      </c>
      <c r="D1761" s="1236" t="s">
        <v>2558</v>
      </c>
      <c r="E1761" s="1236" t="s">
        <v>107</v>
      </c>
      <c r="F1761" s="1236" t="s">
        <v>66</v>
      </c>
      <c r="G1761" s="1236" t="s">
        <v>347</v>
      </c>
      <c r="H1761" s="1236" t="s">
        <v>66</v>
      </c>
      <c r="I1761" s="384" t="s">
        <v>2767</v>
      </c>
      <c r="J1761" s="1990" t="s">
        <v>2768</v>
      </c>
      <c r="K1761" s="2119">
        <v>10</v>
      </c>
      <c r="L1761" s="2144">
        <v>597000000</v>
      </c>
      <c r="M1761" s="2129">
        <v>2</v>
      </c>
      <c r="N1761" s="2047">
        <f>63582900</f>
        <v>63582900</v>
      </c>
      <c r="O1761" s="2119">
        <v>2</v>
      </c>
      <c r="P1761" s="1941">
        <v>62260879.75</v>
      </c>
      <c r="Q1761" s="2129">
        <v>1</v>
      </c>
      <c r="R1761" s="2047">
        <v>2324500</v>
      </c>
      <c r="S1761" s="385"/>
      <c r="T1761" s="385"/>
      <c r="U1761" s="385"/>
      <c r="V1761" s="385"/>
      <c r="W1761" s="385"/>
      <c r="X1761" s="385"/>
      <c r="Y1761" s="2129">
        <f t="shared" si="511"/>
        <v>1</v>
      </c>
      <c r="Z1761" s="1944">
        <f>R1761</f>
        <v>2324500</v>
      </c>
      <c r="AA1761" s="2129">
        <f t="shared" si="509"/>
        <v>3</v>
      </c>
      <c r="AB1761" s="1944">
        <f t="shared" ref="AB1761" si="512">N1761+Z1761</f>
        <v>65907400</v>
      </c>
      <c r="AC1761" s="2129">
        <f t="shared" si="510"/>
        <v>30</v>
      </c>
      <c r="AD1761" s="2136">
        <f>AB1761/L1761*100</f>
        <v>11.039765494137352</v>
      </c>
      <c r="AE1761" s="384" t="s">
        <v>2594</v>
      </c>
    </row>
    <row r="1762" spans="1:31" s="63" customFormat="1" ht="38.25">
      <c r="A1762" s="497"/>
      <c r="B1762" s="383"/>
      <c r="C1762" s="1935"/>
      <c r="D1762" s="1236"/>
      <c r="E1762" s="1236"/>
      <c r="F1762" s="1236"/>
      <c r="G1762" s="1236"/>
      <c r="H1762" s="1236"/>
      <c r="I1762" s="384"/>
      <c r="J1762" s="1990" t="s">
        <v>2769</v>
      </c>
      <c r="K1762" s="2119">
        <v>9</v>
      </c>
      <c r="L1762" s="2144"/>
      <c r="M1762" s="2129"/>
      <c r="N1762" s="385"/>
      <c r="O1762" s="385"/>
      <c r="P1762" s="1941"/>
      <c r="Q1762" s="385"/>
      <c r="R1762" s="2047"/>
      <c r="S1762" s="385"/>
      <c r="T1762" s="385"/>
      <c r="U1762" s="385"/>
      <c r="V1762" s="385"/>
      <c r="W1762" s="385"/>
      <c r="X1762" s="385"/>
      <c r="Y1762" s="2129">
        <f t="shared" si="511"/>
        <v>0</v>
      </c>
      <c r="Z1762" s="1944"/>
      <c r="AA1762" s="2129">
        <f t="shared" si="509"/>
        <v>0</v>
      </c>
      <c r="AB1762" s="1944"/>
      <c r="AC1762" s="2129">
        <f t="shared" si="510"/>
        <v>0</v>
      </c>
      <c r="AD1762" s="389"/>
      <c r="AE1762" s="385"/>
    </row>
    <row r="1763" spans="1:31" s="63" customFormat="1" ht="51">
      <c r="A1763" s="497"/>
      <c r="B1763" s="383"/>
      <c r="C1763" s="1935" t="s">
        <v>66</v>
      </c>
      <c r="D1763" s="1236" t="s">
        <v>2558</v>
      </c>
      <c r="E1763" s="1236" t="s">
        <v>107</v>
      </c>
      <c r="F1763" s="1236" t="s">
        <v>66</v>
      </c>
      <c r="G1763" s="1236" t="s">
        <v>347</v>
      </c>
      <c r="H1763" s="1236" t="s">
        <v>65</v>
      </c>
      <c r="I1763" s="384" t="s">
        <v>2770</v>
      </c>
      <c r="J1763" s="741" t="s">
        <v>2771</v>
      </c>
      <c r="K1763" s="2119">
        <f>4*6</f>
        <v>24</v>
      </c>
      <c r="L1763" s="2144">
        <v>1200000000</v>
      </c>
      <c r="M1763" s="2129">
        <v>8</v>
      </c>
      <c r="N1763" s="2047">
        <f>135677700+178656404</f>
        <v>314334104</v>
      </c>
      <c r="O1763" s="2119">
        <v>4</v>
      </c>
      <c r="P1763" s="1941">
        <v>99539854</v>
      </c>
      <c r="Q1763" s="2129">
        <v>2</v>
      </c>
      <c r="R1763" s="2047">
        <v>21394700</v>
      </c>
      <c r="S1763" s="385"/>
      <c r="T1763" s="385"/>
      <c r="U1763" s="385"/>
      <c r="V1763" s="385"/>
      <c r="W1763" s="385"/>
      <c r="X1763" s="385"/>
      <c r="Y1763" s="2129">
        <f>Q1763</f>
        <v>2</v>
      </c>
      <c r="Z1763" s="1944">
        <f>R1763</f>
        <v>21394700</v>
      </c>
      <c r="AA1763" s="2129">
        <f t="shared" si="509"/>
        <v>10</v>
      </c>
      <c r="AB1763" s="1944">
        <f>N1763+Z1763</f>
        <v>335728804</v>
      </c>
      <c r="AC1763" s="2129">
        <f t="shared" si="510"/>
        <v>41.666666666666671</v>
      </c>
      <c r="AD1763" s="2136">
        <f>AB1763/L1763*100</f>
        <v>27.977400333333335</v>
      </c>
      <c r="AE1763" s="384" t="s">
        <v>2594</v>
      </c>
    </row>
    <row r="1764" spans="1:31" s="63" customFormat="1" ht="25.5">
      <c r="A1764" s="497"/>
      <c r="B1764" s="383"/>
      <c r="C1764" s="1935"/>
      <c r="D1764" s="1236"/>
      <c r="E1764" s="1236"/>
      <c r="F1764" s="1236"/>
      <c r="G1764" s="1236"/>
      <c r="H1764" s="1236"/>
      <c r="I1764" s="384"/>
      <c r="J1764" s="741" t="s">
        <v>2772</v>
      </c>
      <c r="K1764" s="385"/>
      <c r="L1764" s="385"/>
      <c r="M1764" s="2129"/>
      <c r="N1764" s="385"/>
      <c r="O1764" s="385"/>
      <c r="P1764" s="1941"/>
      <c r="Q1764" s="385"/>
      <c r="R1764" s="2047"/>
      <c r="S1764" s="385"/>
      <c r="T1764" s="385"/>
      <c r="U1764" s="385"/>
      <c r="V1764" s="385"/>
      <c r="W1764" s="385"/>
      <c r="X1764" s="385"/>
      <c r="Y1764" s="2124"/>
      <c r="Z1764" s="1944"/>
      <c r="AA1764" s="389"/>
      <c r="AB1764" s="1944"/>
      <c r="AC1764" s="385"/>
      <c r="AD1764" s="389"/>
      <c r="AE1764" s="385"/>
    </row>
    <row r="1765" spans="1:31" s="63" customFormat="1" ht="38.25">
      <c r="A1765" s="497"/>
      <c r="B1765" s="383"/>
      <c r="C1765" s="1935"/>
      <c r="D1765" s="1236"/>
      <c r="E1765" s="1236"/>
      <c r="F1765" s="1236"/>
      <c r="G1765" s="1236"/>
      <c r="H1765" s="1236"/>
      <c r="I1765" s="384"/>
      <c r="J1765" s="741" t="s">
        <v>2773</v>
      </c>
      <c r="K1765" s="385"/>
      <c r="L1765" s="385"/>
      <c r="M1765" s="2129"/>
      <c r="N1765" s="385"/>
      <c r="O1765" s="385"/>
      <c r="P1765" s="1941"/>
      <c r="Q1765" s="385"/>
      <c r="R1765" s="2047"/>
      <c r="S1765" s="385"/>
      <c r="T1765" s="385"/>
      <c r="U1765" s="385"/>
      <c r="V1765" s="385"/>
      <c r="W1765" s="385"/>
      <c r="X1765" s="385"/>
      <c r="Y1765" s="2124"/>
      <c r="Z1765" s="1944"/>
      <c r="AA1765" s="389"/>
      <c r="AB1765" s="1944"/>
      <c r="AC1765" s="385"/>
      <c r="AD1765" s="389"/>
      <c r="AE1765" s="385"/>
    </row>
    <row r="1766" spans="1:31" s="63" customFormat="1" ht="38.25">
      <c r="A1766" s="497"/>
      <c r="B1766" s="383"/>
      <c r="C1766" s="1935" t="s">
        <v>66</v>
      </c>
      <c r="D1766" s="1236" t="s">
        <v>2558</v>
      </c>
      <c r="E1766" s="1236" t="s">
        <v>107</v>
      </c>
      <c r="F1766" s="1236" t="s">
        <v>66</v>
      </c>
      <c r="G1766" s="1236" t="s">
        <v>347</v>
      </c>
      <c r="H1766" s="1236" t="s">
        <v>196</v>
      </c>
      <c r="I1766" s="384" t="s">
        <v>2774</v>
      </c>
      <c r="J1766" s="741" t="s">
        <v>2775</v>
      </c>
      <c r="K1766" s="2119">
        <v>90</v>
      </c>
      <c r="L1766" s="2144">
        <v>1180000000</v>
      </c>
      <c r="M1766" s="2129">
        <v>30</v>
      </c>
      <c r="N1766" s="2119">
        <f>127025300+161638647</f>
        <v>288663947</v>
      </c>
      <c r="O1766" s="2119">
        <v>15</v>
      </c>
      <c r="P1766" s="1941">
        <v>46463665.5</v>
      </c>
      <c r="Q1766" s="2129">
        <v>4</v>
      </c>
      <c r="R1766" s="2047">
        <v>9026000</v>
      </c>
      <c r="S1766" s="385"/>
      <c r="T1766" s="385"/>
      <c r="U1766" s="385"/>
      <c r="V1766" s="385"/>
      <c r="W1766" s="385"/>
      <c r="X1766" s="385"/>
      <c r="Y1766" s="2129">
        <f t="shared" ref="Y1766:Z1769" si="513">Q1766</f>
        <v>4</v>
      </c>
      <c r="Z1766" s="1944">
        <f t="shared" si="513"/>
        <v>9026000</v>
      </c>
      <c r="AA1766" s="2129">
        <f>M1766+Q1766</f>
        <v>34</v>
      </c>
      <c r="AB1766" s="1944">
        <f>N1766+Z1766</f>
        <v>297689947</v>
      </c>
      <c r="AC1766" s="2129">
        <f t="shared" ref="AC1766" si="514">AA1766/K1766*100</f>
        <v>37.777777777777779</v>
      </c>
      <c r="AD1766" s="2136">
        <f>AB1766/L1766*100</f>
        <v>25.227961610169491</v>
      </c>
      <c r="AE1766" s="384" t="s">
        <v>2594</v>
      </c>
    </row>
    <row r="1767" spans="1:31" s="63" customFormat="1" ht="38.25">
      <c r="A1767" s="497"/>
      <c r="B1767" s="383"/>
      <c r="C1767" s="1935"/>
      <c r="D1767" s="1236"/>
      <c r="E1767" s="1236"/>
      <c r="F1767" s="1236"/>
      <c r="G1767" s="1236"/>
      <c r="H1767" s="1236"/>
      <c r="I1767" s="384"/>
      <c r="J1767" s="741" t="s">
        <v>2776</v>
      </c>
      <c r="K1767" s="2148"/>
      <c r="L1767" s="2144"/>
      <c r="M1767" s="2129"/>
      <c r="N1767" s="2148"/>
      <c r="O1767" s="2148"/>
      <c r="P1767" s="1941"/>
      <c r="Q1767" s="385"/>
      <c r="R1767" s="2047"/>
      <c r="S1767" s="385"/>
      <c r="T1767" s="385"/>
      <c r="U1767" s="385"/>
      <c r="V1767" s="385"/>
      <c r="W1767" s="385"/>
      <c r="X1767" s="385"/>
      <c r="Y1767" s="2124">
        <f t="shared" si="513"/>
        <v>0</v>
      </c>
      <c r="Z1767" s="1944">
        <f t="shared" si="513"/>
        <v>0</v>
      </c>
      <c r="AA1767" s="389"/>
      <c r="AB1767" s="1944">
        <f>N1767+Z1767</f>
        <v>0</v>
      </c>
      <c r="AC1767" s="385"/>
      <c r="AD1767" s="389"/>
      <c r="AE1767" s="385"/>
    </row>
    <row r="1768" spans="1:31" s="63" customFormat="1" ht="38.25">
      <c r="A1768" s="497"/>
      <c r="B1768" s="383"/>
      <c r="C1768" s="1935" t="s">
        <v>66</v>
      </c>
      <c r="D1768" s="1236" t="s">
        <v>2558</v>
      </c>
      <c r="E1768" s="1236" t="s">
        <v>107</v>
      </c>
      <c r="F1768" s="1236" t="s">
        <v>66</v>
      </c>
      <c r="G1768" s="1236" t="s">
        <v>347</v>
      </c>
      <c r="H1768" s="1236" t="s">
        <v>93</v>
      </c>
      <c r="I1768" s="384" t="s">
        <v>2777</v>
      </c>
      <c r="J1768" s="741" t="s">
        <v>2778</v>
      </c>
      <c r="K1768" s="2148">
        <v>3</v>
      </c>
      <c r="L1768" s="2155">
        <v>237000000</v>
      </c>
      <c r="M1768" s="2129">
        <v>2</v>
      </c>
      <c r="N1768" s="2047">
        <f>69652800+76491427</f>
        <v>146144227</v>
      </c>
      <c r="O1768" s="2148">
        <v>1</v>
      </c>
      <c r="P1768" s="1941">
        <v>58162656.25</v>
      </c>
      <c r="Q1768" s="2129">
        <v>1</v>
      </c>
      <c r="R1768" s="2047">
        <v>20651800</v>
      </c>
      <c r="S1768" s="385"/>
      <c r="T1768" s="385"/>
      <c r="U1768" s="385"/>
      <c r="V1768" s="385"/>
      <c r="W1768" s="385"/>
      <c r="X1768" s="385"/>
      <c r="Y1768" s="2129">
        <f t="shared" si="513"/>
        <v>1</v>
      </c>
      <c r="Z1768" s="1944">
        <f t="shared" si="513"/>
        <v>20651800</v>
      </c>
      <c r="AA1768" s="2129">
        <f>M1768+Q1768</f>
        <v>3</v>
      </c>
      <c r="AB1768" s="1944">
        <f>N1768+Z1768</f>
        <v>166796027</v>
      </c>
      <c r="AC1768" s="2129">
        <f t="shared" ref="AC1768:AC1769" si="515">AA1768/K1768*100</f>
        <v>100</v>
      </c>
      <c r="AD1768" s="2136">
        <f>AB1768/L1768*100</f>
        <v>70.378070464135021</v>
      </c>
      <c r="AE1768" s="384" t="s">
        <v>2594</v>
      </c>
    </row>
    <row r="1769" spans="1:31" s="63" customFormat="1" ht="38.25">
      <c r="A1769" s="497"/>
      <c r="B1769" s="383"/>
      <c r="C1769" s="1935" t="s">
        <v>66</v>
      </c>
      <c r="D1769" s="1236" t="s">
        <v>2558</v>
      </c>
      <c r="E1769" s="1236" t="s">
        <v>107</v>
      </c>
      <c r="F1769" s="1236" t="s">
        <v>66</v>
      </c>
      <c r="G1769" s="1236" t="s">
        <v>347</v>
      </c>
      <c r="H1769" s="1236" t="s">
        <v>201</v>
      </c>
      <c r="I1769" s="384" t="s">
        <v>2779</v>
      </c>
      <c r="J1769" s="741" t="s">
        <v>2780</v>
      </c>
      <c r="K1769" s="1994">
        <f>8*4+1</f>
        <v>33</v>
      </c>
      <c r="L1769" s="2144">
        <v>100000000</v>
      </c>
      <c r="M1769" s="2129">
        <v>1</v>
      </c>
      <c r="N1769" s="2047">
        <v>78521841</v>
      </c>
      <c r="O1769" s="2023">
        <v>8</v>
      </c>
      <c r="P1769" s="1941">
        <v>48879711.5</v>
      </c>
      <c r="Q1769" s="2129">
        <v>1</v>
      </c>
      <c r="R1769" s="2047">
        <v>5720000</v>
      </c>
      <c r="S1769" s="385"/>
      <c r="T1769" s="385"/>
      <c r="U1769" s="385"/>
      <c r="V1769" s="385"/>
      <c r="W1769" s="385"/>
      <c r="X1769" s="385"/>
      <c r="Y1769" s="2129">
        <f t="shared" si="513"/>
        <v>1</v>
      </c>
      <c r="Z1769" s="1944">
        <f t="shared" si="513"/>
        <v>5720000</v>
      </c>
      <c r="AA1769" s="2129">
        <f>M1769+Q1769</f>
        <v>2</v>
      </c>
      <c r="AB1769" s="1944">
        <f>N1769+Z1769</f>
        <v>84241841</v>
      </c>
      <c r="AC1769" s="2129">
        <f t="shared" si="515"/>
        <v>6.0606060606060606</v>
      </c>
      <c r="AD1769" s="2136">
        <f>AB1769/L1769*100</f>
        <v>84.241840999999994</v>
      </c>
      <c r="AE1769" s="384" t="s">
        <v>2594</v>
      </c>
    </row>
    <row r="1770" spans="1:31" s="63" customFormat="1" ht="38.25">
      <c r="A1770" s="497"/>
      <c r="B1770" s="383"/>
      <c r="C1770" s="1935"/>
      <c r="D1770" s="1236"/>
      <c r="E1770" s="1236"/>
      <c r="F1770" s="1236"/>
      <c r="G1770" s="1236"/>
      <c r="H1770" s="1236"/>
      <c r="I1770" s="384"/>
      <c r="J1770" s="741" t="s">
        <v>2781</v>
      </c>
      <c r="K1770" s="2024"/>
      <c r="L1770" s="2144"/>
      <c r="M1770" s="2129"/>
      <c r="N1770" s="385"/>
      <c r="O1770" s="2024"/>
      <c r="P1770" s="1941"/>
      <c r="Q1770" s="385"/>
      <c r="R1770" s="2047"/>
      <c r="S1770" s="385"/>
      <c r="T1770" s="385"/>
      <c r="U1770" s="385"/>
      <c r="V1770" s="385"/>
      <c r="W1770" s="385"/>
      <c r="X1770" s="385"/>
      <c r="Y1770" s="2124"/>
      <c r="Z1770" s="1944"/>
      <c r="AA1770" s="389"/>
      <c r="AB1770" s="1944"/>
      <c r="AC1770" s="385"/>
      <c r="AD1770" s="389"/>
      <c r="AE1770" s="385"/>
    </row>
    <row r="1771" spans="1:31" s="63" customFormat="1" ht="38.25">
      <c r="A1771" s="497"/>
      <c r="B1771" s="383"/>
      <c r="C1771" s="1935" t="s">
        <v>66</v>
      </c>
      <c r="D1771" s="1236" t="s">
        <v>2558</v>
      </c>
      <c r="E1771" s="1236" t="s">
        <v>107</v>
      </c>
      <c r="F1771" s="1236" t="s">
        <v>66</v>
      </c>
      <c r="G1771" s="1236" t="s">
        <v>347</v>
      </c>
      <c r="H1771" s="1236" t="s">
        <v>202</v>
      </c>
      <c r="I1771" s="741" t="s">
        <v>2782</v>
      </c>
      <c r="J1771" s="741" t="s">
        <v>2783</v>
      </c>
      <c r="K1771" s="385">
        <v>6</v>
      </c>
      <c r="L1771" s="2155">
        <v>340000000</v>
      </c>
      <c r="M1771" s="2129">
        <v>3</v>
      </c>
      <c r="N1771" s="2156">
        <f>132655856</f>
        <v>132655856</v>
      </c>
      <c r="O1771" s="2148">
        <v>3</v>
      </c>
      <c r="P1771" s="1941">
        <v>160786958.19999999</v>
      </c>
      <c r="Q1771" s="2124"/>
      <c r="R1771" s="2047">
        <v>952000</v>
      </c>
      <c r="S1771" s="385"/>
      <c r="T1771" s="385"/>
      <c r="U1771" s="385"/>
      <c r="V1771" s="385"/>
      <c r="W1771" s="385"/>
      <c r="X1771" s="385"/>
      <c r="Y1771" s="2124">
        <f>Q1771</f>
        <v>0</v>
      </c>
      <c r="Z1771" s="1944">
        <f>R1771</f>
        <v>952000</v>
      </c>
      <c r="AA1771" s="2129">
        <f>M1771+Q1771</f>
        <v>3</v>
      </c>
      <c r="AB1771" s="1944">
        <f>N1771+Z1771</f>
        <v>133607856</v>
      </c>
      <c r="AC1771" s="2129">
        <f t="shared" ref="AC1771" si="516">AA1771/K1771*100</f>
        <v>50</v>
      </c>
      <c r="AD1771" s="2136">
        <f>AB1771/L1771*100</f>
        <v>39.296428235294115</v>
      </c>
      <c r="AE1771" s="384" t="s">
        <v>2594</v>
      </c>
    </row>
    <row r="1772" spans="1:31" s="63" customFormat="1" ht="25.5">
      <c r="A1772" s="497"/>
      <c r="B1772" s="383"/>
      <c r="C1772" s="1935"/>
      <c r="D1772" s="1236"/>
      <c r="E1772" s="1236"/>
      <c r="F1772" s="1236"/>
      <c r="G1772" s="1236"/>
      <c r="H1772" s="1236"/>
      <c r="I1772" s="384"/>
      <c r="J1772" s="741" t="s">
        <v>2784</v>
      </c>
      <c r="K1772" s="385"/>
      <c r="L1772" s="385"/>
      <c r="M1772" s="2129"/>
      <c r="N1772" s="385"/>
      <c r="O1772" s="2148" t="s">
        <v>2785</v>
      </c>
      <c r="P1772" s="1941"/>
      <c r="Q1772" s="385"/>
      <c r="R1772" s="2047"/>
      <c r="S1772" s="385"/>
      <c r="T1772" s="385"/>
      <c r="U1772" s="385"/>
      <c r="V1772" s="385"/>
      <c r="W1772" s="385"/>
      <c r="X1772" s="385"/>
      <c r="Y1772" s="2124"/>
      <c r="Z1772" s="1944"/>
      <c r="AA1772" s="389"/>
      <c r="AB1772" s="1944"/>
      <c r="AC1772" s="385"/>
      <c r="AD1772" s="389"/>
      <c r="AE1772" s="385"/>
    </row>
    <row r="1773" spans="1:31" s="63" customFormat="1" ht="25.5">
      <c r="A1773" s="497"/>
      <c r="B1773" s="383"/>
      <c r="C1773" s="1935"/>
      <c r="D1773" s="1236"/>
      <c r="E1773" s="1236"/>
      <c r="F1773" s="1236"/>
      <c r="G1773" s="1236"/>
      <c r="H1773" s="1236"/>
      <c r="I1773" s="384"/>
      <c r="J1773" s="741" t="s">
        <v>2786</v>
      </c>
      <c r="K1773" s="385"/>
      <c r="L1773" s="385"/>
      <c r="M1773" s="2129"/>
      <c r="N1773" s="385"/>
      <c r="O1773" s="2148" t="s">
        <v>2787</v>
      </c>
      <c r="P1773" s="1941"/>
      <c r="Q1773" s="385"/>
      <c r="R1773" s="2047"/>
      <c r="S1773" s="385"/>
      <c r="T1773" s="385"/>
      <c r="U1773" s="385"/>
      <c r="V1773" s="385"/>
      <c r="W1773" s="385"/>
      <c r="X1773" s="385"/>
      <c r="Y1773" s="2124"/>
      <c r="Z1773" s="1944"/>
      <c r="AA1773" s="389"/>
      <c r="AB1773" s="1944"/>
      <c r="AC1773" s="385"/>
      <c r="AD1773" s="389"/>
      <c r="AE1773" s="385"/>
    </row>
    <row r="1774" spans="1:31" s="63" customFormat="1" ht="38.25">
      <c r="A1774" s="497"/>
      <c r="B1774" s="383"/>
      <c r="C1774" s="1935" t="s">
        <v>66</v>
      </c>
      <c r="D1774" s="1236" t="s">
        <v>2558</v>
      </c>
      <c r="E1774" s="1236" t="s">
        <v>107</v>
      </c>
      <c r="F1774" s="1236" t="s">
        <v>66</v>
      </c>
      <c r="G1774" s="1236" t="s">
        <v>347</v>
      </c>
      <c r="H1774" s="1236" t="s">
        <v>160</v>
      </c>
      <c r="I1774" s="384" t="s">
        <v>2788</v>
      </c>
      <c r="J1774" s="741" t="s">
        <v>2789</v>
      </c>
      <c r="K1774" s="2148">
        <v>5</v>
      </c>
      <c r="L1774" s="2144">
        <v>495000000</v>
      </c>
      <c r="M1774" s="2129">
        <v>1</v>
      </c>
      <c r="N1774" s="2047">
        <f>129120950</f>
        <v>129120950</v>
      </c>
      <c r="O1774" s="2148">
        <v>1</v>
      </c>
      <c r="P1774" s="1941">
        <v>46343569.25</v>
      </c>
      <c r="Q1774" s="2124"/>
      <c r="R1774" s="2047"/>
      <c r="S1774" s="385"/>
      <c r="T1774" s="385"/>
      <c r="U1774" s="385"/>
      <c r="V1774" s="385"/>
      <c r="W1774" s="385"/>
      <c r="X1774" s="385"/>
      <c r="Y1774" s="2124">
        <f t="shared" ref="Y1774:Z1777" si="517">Q1774</f>
        <v>0</v>
      </c>
      <c r="Z1774" s="1944">
        <f t="shared" si="517"/>
        <v>0</v>
      </c>
      <c r="AA1774" s="2129">
        <f>M1774+Q1774</f>
        <v>1</v>
      </c>
      <c r="AB1774" s="1944">
        <f>N1774+Z1774</f>
        <v>129120950</v>
      </c>
      <c r="AC1774" s="2129">
        <f t="shared" ref="AC1774:AC1777" si="518">AA1774/K1774*100</f>
        <v>20</v>
      </c>
      <c r="AD1774" s="2136">
        <f>AB1774/L1774*100</f>
        <v>26.085040404040406</v>
      </c>
      <c r="AE1774" s="384" t="s">
        <v>2594</v>
      </c>
    </row>
    <row r="1775" spans="1:31" s="63" customFormat="1" ht="51">
      <c r="A1775" s="497"/>
      <c r="B1775" s="383"/>
      <c r="C1775" s="1935" t="s">
        <v>66</v>
      </c>
      <c r="D1775" s="1236" t="s">
        <v>2558</v>
      </c>
      <c r="E1775" s="1236" t="s">
        <v>107</v>
      </c>
      <c r="F1775" s="1236" t="s">
        <v>66</v>
      </c>
      <c r="G1775" s="1236" t="s">
        <v>347</v>
      </c>
      <c r="H1775" s="1236" t="s">
        <v>391</v>
      </c>
      <c r="I1775" s="384" t="s">
        <v>2790</v>
      </c>
      <c r="J1775" s="741" t="s">
        <v>2791</v>
      </c>
      <c r="K1775" s="2148">
        <v>70</v>
      </c>
      <c r="L1775" s="2144">
        <v>520000000</v>
      </c>
      <c r="M1775" s="2129">
        <v>0</v>
      </c>
      <c r="N1775" s="385"/>
      <c r="O1775" s="2148">
        <v>10</v>
      </c>
      <c r="P1775" s="1941">
        <v>51940078.75</v>
      </c>
      <c r="Q1775" s="2129">
        <v>40</v>
      </c>
      <c r="R1775" s="2047">
        <v>11695500</v>
      </c>
      <c r="S1775" s="385"/>
      <c r="T1775" s="385"/>
      <c r="U1775" s="385"/>
      <c r="V1775" s="385"/>
      <c r="W1775" s="385"/>
      <c r="X1775" s="385"/>
      <c r="Y1775" s="2129">
        <f t="shared" si="517"/>
        <v>40</v>
      </c>
      <c r="Z1775" s="1944">
        <f t="shared" si="517"/>
        <v>11695500</v>
      </c>
      <c r="AA1775" s="2129">
        <f>M1775+Q1775</f>
        <v>40</v>
      </c>
      <c r="AB1775" s="1944">
        <f>N1775+Z1775</f>
        <v>11695500</v>
      </c>
      <c r="AC1775" s="2129">
        <f t="shared" si="518"/>
        <v>57.142857142857139</v>
      </c>
      <c r="AD1775" s="2136">
        <f>AB1775/L1775*100</f>
        <v>2.2491346153846155</v>
      </c>
      <c r="AE1775" s="384" t="s">
        <v>2594</v>
      </c>
    </row>
    <row r="1776" spans="1:31" s="63" customFormat="1" ht="38.25">
      <c r="A1776" s="497"/>
      <c r="B1776" s="383"/>
      <c r="C1776" s="1935" t="s">
        <v>66</v>
      </c>
      <c r="D1776" s="1236" t="s">
        <v>2558</v>
      </c>
      <c r="E1776" s="1236" t="s">
        <v>107</v>
      </c>
      <c r="F1776" s="1236" t="s">
        <v>66</v>
      </c>
      <c r="G1776" s="1236" t="s">
        <v>347</v>
      </c>
      <c r="H1776" s="1236" t="s">
        <v>396</v>
      </c>
      <c r="I1776" s="741" t="s">
        <v>2792</v>
      </c>
      <c r="J1776" s="741" t="s">
        <v>2793</v>
      </c>
      <c r="K1776" s="385">
        <v>1</v>
      </c>
      <c r="L1776" s="2155">
        <v>50000000</v>
      </c>
      <c r="M1776" s="2129"/>
      <c r="N1776" s="385"/>
      <c r="O1776" s="2148">
        <v>1</v>
      </c>
      <c r="P1776" s="1941">
        <v>48682581.75</v>
      </c>
      <c r="Q1776" s="2129">
        <v>1</v>
      </c>
      <c r="R1776" s="2047">
        <v>15218000</v>
      </c>
      <c r="S1776" s="385"/>
      <c r="T1776" s="385"/>
      <c r="U1776" s="385"/>
      <c r="V1776" s="385"/>
      <c r="W1776" s="385"/>
      <c r="X1776" s="385"/>
      <c r="Y1776" s="2129">
        <f t="shared" si="517"/>
        <v>1</v>
      </c>
      <c r="Z1776" s="1944">
        <f t="shared" si="517"/>
        <v>15218000</v>
      </c>
      <c r="AA1776" s="2129">
        <f>M1776+Q1776</f>
        <v>1</v>
      </c>
      <c r="AB1776" s="1944">
        <f>N1776+Z1776</f>
        <v>15218000</v>
      </c>
      <c r="AC1776" s="2129">
        <f t="shared" si="518"/>
        <v>100</v>
      </c>
      <c r="AD1776" s="2136">
        <f>AB1776/L1776*100</f>
        <v>30.436000000000003</v>
      </c>
      <c r="AE1776" s="384" t="s">
        <v>2594</v>
      </c>
    </row>
    <row r="1777" spans="1:31" s="63" customFormat="1" ht="51">
      <c r="A1777" s="497"/>
      <c r="B1777" s="383"/>
      <c r="C1777" s="1935" t="s">
        <v>66</v>
      </c>
      <c r="D1777" s="1236" t="s">
        <v>2558</v>
      </c>
      <c r="E1777" s="1236" t="s">
        <v>107</v>
      </c>
      <c r="F1777" s="1236" t="s">
        <v>66</v>
      </c>
      <c r="G1777" s="1236" t="s">
        <v>347</v>
      </c>
      <c r="H1777" s="1236" t="s">
        <v>155</v>
      </c>
      <c r="I1777" s="384" t="s">
        <v>2794</v>
      </c>
      <c r="J1777" s="741" t="s">
        <v>2795</v>
      </c>
      <c r="K1777" s="2119">
        <v>12</v>
      </c>
      <c r="L1777" s="2144">
        <v>550000000</v>
      </c>
      <c r="M1777" s="2129"/>
      <c r="N1777" s="385"/>
      <c r="O1777" s="2119">
        <v>3</v>
      </c>
      <c r="P1777" s="1941">
        <v>52636433.5</v>
      </c>
      <c r="Q1777" s="2129">
        <v>1</v>
      </c>
      <c r="R1777" s="2047">
        <v>6042000</v>
      </c>
      <c r="S1777" s="385"/>
      <c r="T1777" s="385"/>
      <c r="U1777" s="385"/>
      <c r="V1777" s="385"/>
      <c r="W1777" s="385"/>
      <c r="X1777" s="385"/>
      <c r="Y1777" s="2129">
        <f t="shared" si="517"/>
        <v>1</v>
      </c>
      <c r="Z1777" s="1944">
        <f t="shared" si="517"/>
        <v>6042000</v>
      </c>
      <c r="AA1777" s="2129">
        <f>M1777+Q1777</f>
        <v>1</v>
      </c>
      <c r="AB1777" s="1944">
        <f>N1777+Z1777</f>
        <v>6042000</v>
      </c>
      <c r="AC1777" s="389">
        <f t="shared" si="518"/>
        <v>8.3333333333333321</v>
      </c>
      <c r="AD1777" s="389">
        <f>AB1777/L1777*100</f>
        <v>1.0985454545454545</v>
      </c>
      <c r="AE1777" s="384" t="s">
        <v>2594</v>
      </c>
    </row>
    <row r="1778" spans="1:31" s="63" customFormat="1">
      <c r="A1778" s="2614" t="s">
        <v>2532</v>
      </c>
      <c r="B1778" s="2615"/>
      <c r="C1778" s="2615"/>
      <c r="D1778" s="2615"/>
      <c r="E1778" s="2615"/>
      <c r="F1778" s="2615"/>
      <c r="G1778" s="2615"/>
      <c r="H1778" s="2615"/>
      <c r="I1778" s="2615"/>
      <c r="J1778" s="2615"/>
      <c r="K1778" s="2615"/>
      <c r="L1778" s="2615"/>
      <c r="M1778" s="2615"/>
      <c r="N1778" s="2615"/>
      <c r="O1778" s="2615"/>
      <c r="P1778" s="2615"/>
      <c r="Q1778" s="2615"/>
      <c r="R1778" s="2615"/>
      <c r="S1778" s="2615"/>
      <c r="T1778" s="2615"/>
      <c r="U1778" s="2615"/>
      <c r="V1778" s="2615"/>
      <c r="W1778" s="2615"/>
      <c r="X1778" s="2615"/>
      <c r="Y1778" s="2615"/>
      <c r="Z1778" s="2615"/>
      <c r="AA1778" s="2615"/>
      <c r="AB1778" s="2616"/>
      <c r="AC1778" s="2145">
        <f>SUM(AC1761:AC1777)/10</f>
        <v>45.098124098124103</v>
      </c>
      <c r="AD1778" s="2146">
        <f>SUM(AD1761:AD1777)/10</f>
        <v>31.803018761103971</v>
      </c>
      <c r="AE1778" s="385"/>
    </row>
    <row r="1779" spans="1:31" s="63" customFormat="1">
      <c r="A1779" s="2614" t="s">
        <v>2533</v>
      </c>
      <c r="B1779" s="2615"/>
      <c r="C1779" s="2615"/>
      <c r="D1779" s="2615"/>
      <c r="E1779" s="2615"/>
      <c r="F1779" s="2615"/>
      <c r="G1779" s="2615"/>
      <c r="H1779" s="2615"/>
      <c r="I1779" s="2615"/>
      <c r="J1779" s="2615"/>
      <c r="K1779" s="2615"/>
      <c r="L1779" s="2615"/>
      <c r="M1779" s="2615"/>
      <c r="N1779" s="2615"/>
      <c r="O1779" s="2615"/>
      <c r="P1779" s="2615"/>
      <c r="Q1779" s="2615"/>
      <c r="R1779" s="2615"/>
      <c r="S1779" s="2615"/>
      <c r="T1779" s="2615"/>
      <c r="U1779" s="2615"/>
      <c r="V1779" s="2615"/>
      <c r="W1779" s="2615"/>
      <c r="X1779" s="2615"/>
      <c r="Y1779" s="2615"/>
      <c r="Z1779" s="2615"/>
      <c r="AA1779" s="2615"/>
      <c r="AB1779" s="2616"/>
      <c r="AC1779" s="2145" t="s">
        <v>2534</v>
      </c>
      <c r="AD1779" s="2145" t="s">
        <v>2534</v>
      </c>
      <c r="AE1779" s="385"/>
    </row>
    <row r="1780" spans="1:31" s="63" customFormat="1" ht="63.75">
      <c r="A1780" s="495">
        <v>29</v>
      </c>
      <c r="B1780" s="344" t="s">
        <v>2619</v>
      </c>
      <c r="C1780" s="1935" t="s">
        <v>66</v>
      </c>
      <c r="D1780" s="1236" t="s">
        <v>2558</v>
      </c>
      <c r="E1780" s="1236" t="s">
        <v>107</v>
      </c>
      <c r="F1780" s="1236" t="s">
        <v>66</v>
      </c>
      <c r="G1780" s="1236" t="s">
        <v>479</v>
      </c>
      <c r="H1780" s="1236"/>
      <c r="I1780" s="2134" t="s">
        <v>2796</v>
      </c>
      <c r="J1780" s="1471" t="s">
        <v>2797</v>
      </c>
      <c r="K1780" s="2157">
        <v>580</v>
      </c>
      <c r="L1780" s="2120">
        <f>L1784</f>
        <v>1450000000</v>
      </c>
      <c r="M1780" s="2158">
        <f>90+90</f>
        <v>180</v>
      </c>
      <c r="N1780" s="2123">
        <f>N1784</f>
        <v>341863118</v>
      </c>
      <c r="O1780" s="2158">
        <v>100</v>
      </c>
      <c r="P1780" s="2123">
        <f>P1784</f>
        <v>126472964</v>
      </c>
      <c r="Q1780" s="2124"/>
      <c r="R1780" s="2121">
        <f>R1784</f>
        <v>15920000</v>
      </c>
      <c r="S1780" s="616"/>
      <c r="T1780" s="616"/>
      <c r="U1780" s="616"/>
      <c r="V1780" s="616"/>
      <c r="W1780" s="616"/>
      <c r="X1780" s="616"/>
      <c r="Y1780" s="2124">
        <f t="shared" ref="Y1780:Z1784" si="519">Q1780</f>
        <v>0</v>
      </c>
      <c r="Z1780" s="1944">
        <f t="shared" si="519"/>
        <v>15920000</v>
      </c>
      <c r="AA1780" s="2129">
        <f>M1780+Q1780</f>
        <v>180</v>
      </c>
      <c r="AB1780" s="1944">
        <f>N1780+Z1780</f>
        <v>357783118</v>
      </c>
      <c r="AC1780" s="493">
        <f t="shared" ref="AC1780:AC1784" si="520">AA1780/K1780*100</f>
        <v>31.03448275862069</v>
      </c>
      <c r="AD1780" s="2152">
        <f>AB1780/L1780*100</f>
        <v>24.674697793103448</v>
      </c>
      <c r="AE1780" s="616"/>
    </row>
    <row r="1781" spans="1:31" s="63" customFormat="1" ht="25.5">
      <c r="A1781" s="497"/>
      <c r="B1781" s="383"/>
      <c r="C1781" s="1935"/>
      <c r="D1781" s="1236"/>
      <c r="E1781" s="1236"/>
      <c r="F1781" s="1236"/>
      <c r="G1781" s="1236"/>
      <c r="H1781" s="1236"/>
      <c r="I1781" s="2134"/>
      <c r="J1781" s="1471" t="s">
        <v>2798</v>
      </c>
      <c r="K1781" s="2119">
        <v>5</v>
      </c>
      <c r="L1781" s="616"/>
      <c r="M1781" s="633">
        <v>6</v>
      </c>
      <c r="N1781" s="616"/>
      <c r="O1781" s="2159">
        <v>5</v>
      </c>
      <c r="P1781" s="2123"/>
      <c r="Q1781" s="616"/>
      <c r="R1781" s="2121"/>
      <c r="S1781" s="616"/>
      <c r="T1781" s="616"/>
      <c r="U1781" s="616"/>
      <c r="V1781" s="616"/>
      <c r="W1781" s="616"/>
      <c r="X1781" s="616"/>
      <c r="Y1781" s="2124">
        <f t="shared" si="519"/>
        <v>0</v>
      </c>
      <c r="Z1781" s="1944">
        <f t="shared" si="519"/>
        <v>0</v>
      </c>
      <c r="AA1781" s="2129">
        <f t="shared" ref="AA1781:AA1783" si="521">M1781+Q1781</f>
        <v>6</v>
      </c>
      <c r="AB1781" s="1944">
        <f t="shared" ref="AB1781:AB1783" si="522">N1781+Z1781</f>
        <v>0</v>
      </c>
      <c r="AC1781" s="493">
        <f t="shared" si="520"/>
        <v>120</v>
      </c>
      <c r="AD1781" s="2152"/>
      <c r="AE1781" s="616"/>
    </row>
    <row r="1782" spans="1:31" s="63" customFormat="1" ht="51">
      <c r="A1782" s="497"/>
      <c r="B1782" s="383"/>
      <c r="C1782" s="1935"/>
      <c r="D1782" s="1236"/>
      <c r="E1782" s="1236"/>
      <c r="F1782" s="1236"/>
      <c r="G1782" s="1236"/>
      <c r="H1782" s="1236"/>
      <c r="I1782" s="2134"/>
      <c r="J1782" s="1471" t="s">
        <v>2799</v>
      </c>
      <c r="K1782" s="2160">
        <v>380</v>
      </c>
      <c r="L1782" s="616"/>
      <c r="M1782" s="633">
        <f>50+55</f>
        <v>105</v>
      </c>
      <c r="N1782" s="616"/>
      <c r="O1782" s="2160">
        <v>80</v>
      </c>
      <c r="P1782" s="2123"/>
      <c r="Q1782" s="616"/>
      <c r="R1782" s="2121"/>
      <c r="S1782" s="616"/>
      <c r="T1782" s="616"/>
      <c r="U1782" s="616"/>
      <c r="V1782" s="616"/>
      <c r="W1782" s="616"/>
      <c r="X1782" s="616"/>
      <c r="Y1782" s="2124">
        <f t="shared" si="519"/>
        <v>0</v>
      </c>
      <c r="Z1782" s="1944">
        <f t="shared" si="519"/>
        <v>0</v>
      </c>
      <c r="AA1782" s="2129">
        <f t="shared" si="521"/>
        <v>105</v>
      </c>
      <c r="AB1782" s="1944">
        <f t="shared" si="522"/>
        <v>0</v>
      </c>
      <c r="AC1782" s="493">
        <f t="shared" si="520"/>
        <v>27.631578947368425</v>
      </c>
      <c r="AD1782" s="2152"/>
      <c r="AE1782" s="616"/>
    </row>
    <row r="1783" spans="1:31" s="63" customFormat="1" ht="38.25">
      <c r="A1783" s="497"/>
      <c r="B1783" s="383"/>
      <c r="C1783" s="1935"/>
      <c r="D1783" s="1236"/>
      <c r="E1783" s="1236"/>
      <c r="F1783" s="1236"/>
      <c r="G1783" s="1236"/>
      <c r="H1783" s="1236"/>
      <c r="I1783" s="2134"/>
      <c r="J1783" s="1471" t="s">
        <v>2800</v>
      </c>
      <c r="K1783" s="2160">
        <v>415</v>
      </c>
      <c r="L1783" s="616"/>
      <c r="M1783" s="2131">
        <v>120</v>
      </c>
      <c r="N1783" s="2125"/>
      <c r="O1783" s="2160">
        <v>80</v>
      </c>
      <c r="P1783" s="2123"/>
      <c r="Q1783" s="616"/>
      <c r="R1783" s="2121"/>
      <c r="S1783" s="616"/>
      <c r="T1783" s="616"/>
      <c r="U1783" s="616"/>
      <c r="V1783" s="616"/>
      <c r="W1783" s="616"/>
      <c r="X1783" s="616"/>
      <c r="Y1783" s="2124">
        <f t="shared" si="519"/>
        <v>0</v>
      </c>
      <c r="Z1783" s="1944">
        <f t="shared" si="519"/>
        <v>0</v>
      </c>
      <c r="AA1783" s="2129">
        <f t="shared" si="521"/>
        <v>120</v>
      </c>
      <c r="AB1783" s="1944">
        <f t="shared" si="522"/>
        <v>0</v>
      </c>
      <c r="AC1783" s="493">
        <f t="shared" si="520"/>
        <v>28.915662650602407</v>
      </c>
      <c r="AD1783" s="2152"/>
      <c r="AE1783" s="616"/>
    </row>
    <row r="1784" spans="1:31" s="63" customFormat="1" ht="63.75">
      <c r="A1784" s="497"/>
      <c r="B1784" s="383"/>
      <c r="C1784" s="1935" t="s">
        <v>66</v>
      </c>
      <c r="D1784" s="1236" t="s">
        <v>2558</v>
      </c>
      <c r="E1784" s="1236" t="s">
        <v>107</v>
      </c>
      <c r="F1784" s="1236" t="s">
        <v>66</v>
      </c>
      <c r="G1784" s="1236" t="s">
        <v>479</v>
      </c>
      <c r="H1784" s="1236" t="s">
        <v>66</v>
      </c>
      <c r="I1784" s="741" t="s">
        <v>2801</v>
      </c>
      <c r="J1784" s="1485" t="s">
        <v>2802</v>
      </c>
      <c r="K1784" s="2119">
        <f>24*6</f>
        <v>144</v>
      </c>
      <c r="L1784" s="2144">
        <v>1450000000</v>
      </c>
      <c r="M1784" s="2129">
        <f>24*2</f>
        <v>48</v>
      </c>
      <c r="N1784" s="2047">
        <f>183419238+158443880</f>
        <v>341863118</v>
      </c>
      <c r="O1784" s="2119">
        <v>24</v>
      </c>
      <c r="P1784" s="1941">
        <v>126472964</v>
      </c>
      <c r="Q1784" s="2129">
        <v>6</v>
      </c>
      <c r="R1784" s="2047">
        <v>15920000</v>
      </c>
      <c r="S1784" s="385"/>
      <c r="T1784" s="385"/>
      <c r="U1784" s="385"/>
      <c r="V1784" s="385"/>
      <c r="W1784" s="385"/>
      <c r="X1784" s="385"/>
      <c r="Y1784" s="2129">
        <f t="shared" si="519"/>
        <v>6</v>
      </c>
      <c r="Z1784" s="1944">
        <f t="shared" si="519"/>
        <v>15920000</v>
      </c>
      <c r="AA1784" s="2129">
        <f>M1784+Q1784</f>
        <v>54</v>
      </c>
      <c r="AB1784" s="1944">
        <f>N1784+Z1784</f>
        <v>357783118</v>
      </c>
      <c r="AC1784" s="389">
        <f t="shared" si="520"/>
        <v>37.5</v>
      </c>
      <c r="AD1784" s="389">
        <f>AB1784/L1784*100</f>
        <v>24.674697793103448</v>
      </c>
      <c r="AE1784" s="385" t="s">
        <v>2562</v>
      </c>
    </row>
    <row r="1785" spans="1:31" s="63" customFormat="1">
      <c r="A1785" s="2614" t="s">
        <v>2532</v>
      </c>
      <c r="B1785" s="2615"/>
      <c r="C1785" s="2615"/>
      <c r="D1785" s="2615"/>
      <c r="E1785" s="2615"/>
      <c r="F1785" s="2615"/>
      <c r="G1785" s="2615"/>
      <c r="H1785" s="2615"/>
      <c r="I1785" s="2615"/>
      <c r="J1785" s="2615"/>
      <c r="K1785" s="2615"/>
      <c r="L1785" s="2615"/>
      <c r="M1785" s="2615"/>
      <c r="N1785" s="2615"/>
      <c r="O1785" s="2615"/>
      <c r="P1785" s="2615"/>
      <c r="Q1785" s="2615"/>
      <c r="R1785" s="2615"/>
      <c r="S1785" s="2615"/>
      <c r="T1785" s="2615"/>
      <c r="U1785" s="2615"/>
      <c r="V1785" s="2615"/>
      <c r="W1785" s="2615"/>
      <c r="X1785" s="2615"/>
      <c r="Y1785" s="2615"/>
      <c r="Z1785" s="2615"/>
      <c r="AA1785" s="2615"/>
      <c r="AB1785" s="2616"/>
      <c r="AC1785" s="697">
        <f>AC1784</f>
        <v>37.5</v>
      </c>
      <c r="AD1785" s="697">
        <f>AD1784</f>
        <v>24.674697793103448</v>
      </c>
      <c r="AE1785" s="385"/>
    </row>
    <row r="1786" spans="1:31" s="63" customFormat="1">
      <c r="A1786" s="2614" t="s">
        <v>2533</v>
      </c>
      <c r="B1786" s="2615"/>
      <c r="C1786" s="2615"/>
      <c r="D1786" s="2615"/>
      <c r="E1786" s="2615"/>
      <c r="F1786" s="2615"/>
      <c r="G1786" s="2615"/>
      <c r="H1786" s="2615"/>
      <c r="I1786" s="2615"/>
      <c r="J1786" s="2615"/>
      <c r="K1786" s="2615"/>
      <c r="L1786" s="2615"/>
      <c r="M1786" s="2615"/>
      <c r="N1786" s="2615"/>
      <c r="O1786" s="2615"/>
      <c r="P1786" s="2615"/>
      <c r="Q1786" s="2615"/>
      <c r="R1786" s="2615"/>
      <c r="S1786" s="2615"/>
      <c r="T1786" s="2615"/>
      <c r="U1786" s="2615"/>
      <c r="V1786" s="2615"/>
      <c r="W1786" s="2615"/>
      <c r="X1786" s="2615"/>
      <c r="Y1786" s="2615"/>
      <c r="Z1786" s="2615"/>
      <c r="AA1786" s="2615"/>
      <c r="AB1786" s="2616"/>
      <c r="AC1786" s="2145" t="s">
        <v>2534</v>
      </c>
      <c r="AD1786" s="697" t="s">
        <v>2534</v>
      </c>
      <c r="AE1786" s="385"/>
    </row>
    <row r="1787" spans="1:31" s="63" customFormat="1" ht="38.25">
      <c r="A1787" s="495">
        <v>30</v>
      </c>
      <c r="B1787" s="741" t="s">
        <v>2510</v>
      </c>
      <c r="C1787" s="1935" t="s">
        <v>66</v>
      </c>
      <c r="D1787" s="1236" t="s">
        <v>2558</v>
      </c>
      <c r="E1787" s="1236" t="s">
        <v>107</v>
      </c>
      <c r="F1787" s="1236" t="s">
        <v>66</v>
      </c>
      <c r="G1787" s="1236" t="s">
        <v>2803</v>
      </c>
      <c r="H1787" s="1236"/>
      <c r="I1787" s="383" t="s">
        <v>2804</v>
      </c>
      <c r="J1787" s="384" t="s">
        <v>2805</v>
      </c>
      <c r="K1787" s="1855" t="s">
        <v>2181</v>
      </c>
      <c r="L1787" s="2161">
        <f>L1790+L1791</f>
        <v>1495000000</v>
      </c>
      <c r="M1787" s="598" t="s">
        <v>2806</v>
      </c>
      <c r="N1787" s="2161">
        <f>N1790+N1791</f>
        <v>201389735</v>
      </c>
      <c r="O1787" s="1855" t="s">
        <v>2806</v>
      </c>
      <c r="P1787" s="2121">
        <f>P1790+P1791</f>
        <v>134555028.25</v>
      </c>
      <c r="Q1787" s="2162"/>
      <c r="R1787" s="2121">
        <f>R1790+R1791</f>
        <v>17219626</v>
      </c>
      <c r="S1787" s="385"/>
      <c r="T1787" s="385"/>
      <c r="U1787" s="385"/>
      <c r="V1787" s="385"/>
      <c r="W1787" s="385"/>
      <c r="X1787" s="385"/>
      <c r="Y1787" s="2124">
        <f>Q1787</f>
        <v>0</v>
      </c>
      <c r="Z1787" s="1944">
        <f>R1787</f>
        <v>17219626</v>
      </c>
      <c r="AA1787" s="2129"/>
      <c r="AB1787" s="1944">
        <f>N1787+Z1787</f>
        <v>218609361</v>
      </c>
      <c r="AC1787" s="385"/>
      <c r="AD1787" s="389">
        <f>AB1787/L1787*100</f>
        <v>14.622699732441472</v>
      </c>
      <c r="AE1787" s="385"/>
    </row>
    <row r="1788" spans="1:31" s="63" customFormat="1" ht="25.5">
      <c r="A1788" s="497"/>
      <c r="B1788" s="383"/>
      <c r="C1788" s="1935"/>
      <c r="D1788" s="1236"/>
      <c r="E1788" s="1236"/>
      <c r="F1788" s="1236"/>
      <c r="G1788" s="1236"/>
      <c r="H1788" s="1236"/>
      <c r="I1788" s="383"/>
      <c r="J1788" s="384" t="s">
        <v>2807</v>
      </c>
      <c r="K1788" s="2163">
        <v>3.35</v>
      </c>
      <c r="L1788" s="385"/>
      <c r="M1788" s="2129"/>
      <c r="N1788" s="385"/>
      <c r="O1788" s="385"/>
      <c r="P1788" s="2135"/>
      <c r="Q1788" s="385"/>
      <c r="R1788" s="385"/>
      <c r="S1788" s="385"/>
      <c r="T1788" s="385"/>
      <c r="U1788" s="385"/>
      <c r="V1788" s="385"/>
      <c r="W1788" s="385"/>
      <c r="X1788" s="385"/>
      <c r="Y1788" s="385"/>
      <c r="Z1788" s="385"/>
      <c r="AA1788" s="389"/>
      <c r="AB1788" s="385"/>
      <c r="AC1788" s="385"/>
      <c r="AD1788" s="385"/>
      <c r="AE1788" s="385"/>
    </row>
    <row r="1789" spans="1:31" s="63" customFormat="1" ht="51">
      <c r="A1789" s="497"/>
      <c r="B1789" s="383"/>
      <c r="C1789" s="1935"/>
      <c r="D1789" s="1236"/>
      <c r="E1789" s="1236"/>
      <c r="F1789" s="1236"/>
      <c r="G1789" s="1236"/>
      <c r="H1789" s="1236"/>
      <c r="I1789" s="383"/>
      <c r="J1789" s="384" t="s">
        <v>2808</v>
      </c>
      <c r="K1789" s="2164">
        <v>400</v>
      </c>
      <c r="L1789" s="385"/>
      <c r="M1789" s="2129"/>
      <c r="N1789" s="385"/>
      <c r="O1789" s="385"/>
      <c r="P1789" s="2135"/>
      <c r="Q1789" s="385"/>
      <c r="R1789" s="385"/>
      <c r="S1789" s="385"/>
      <c r="T1789" s="385"/>
      <c r="U1789" s="385"/>
      <c r="V1789" s="385"/>
      <c r="W1789" s="385"/>
      <c r="X1789" s="385"/>
      <c r="Y1789" s="385"/>
      <c r="Z1789" s="385"/>
      <c r="AA1789" s="389"/>
      <c r="AB1789" s="385"/>
      <c r="AC1789" s="385"/>
      <c r="AD1789" s="385"/>
      <c r="AE1789" s="385"/>
    </row>
    <row r="1790" spans="1:31" s="63" customFormat="1" ht="51">
      <c r="A1790" s="497"/>
      <c r="B1790" s="383"/>
      <c r="C1790" s="1935" t="s">
        <v>66</v>
      </c>
      <c r="D1790" s="1236" t="s">
        <v>2558</v>
      </c>
      <c r="E1790" s="1236" t="s">
        <v>107</v>
      </c>
      <c r="F1790" s="1236" t="s">
        <v>66</v>
      </c>
      <c r="G1790" s="1236" t="s">
        <v>2803</v>
      </c>
      <c r="H1790" s="1236" t="s">
        <v>66</v>
      </c>
      <c r="I1790" s="384" t="s">
        <v>2809</v>
      </c>
      <c r="J1790" s="384" t="s">
        <v>2810</v>
      </c>
      <c r="K1790" s="385">
        <f>45*5</f>
        <v>225</v>
      </c>
      <c r="L1790" s="2047">
        <v>955000000</v>
      </c>
      <c r="M1790" s="2129">
        <v>45</v>
      </c>
      <c r="N1790" s="2047">
        <v>149183985</v>
      </c>
      <c r="O1790" s="385">
        <v>45</v>
      </c>
      <c r="P1790" s="1941">
        <v>85189366.25</v>
      </c>
      <c r="Q1790" s="2129">
        <v>35</v>
      </c>
      <c r="R1790" s="2047">
        <v>12260898</v>
      </c>
      <c r="S1790" s="385"/>
      <c r="T1790" s="385"/>
      <c r="U1790" s="385"/>
      <c r="V1790" s="385"/>
      <c r="W1790" s="385"/>
      <c r="X1790" s="385"/>
      <c r="Y1790" s="2129">
        <f>Q1790</f>
        <v>35</v>
      </c>
      <c r="Z1790" s="1944">
        <f>R1790</f>
        <v>12260898</v>
      </c>
      <c r="AA1790" s="2129">
        <f>M1790+Q1790</f>
        <v>80</v>
      </c>
      <c r="AB1790" s="1944">
        <f>N1790+Z1790</f>
        <v>161444883</v>
      </c>
      <c r="AC1790" s="389">
        <f t="shared" ref="AC1790:AC1791" si="523">AA1790/K1790*100</f>
        <v>35.555555555555557</v>
      </c>
      <c r="AD1790" s="389">
        <f>AB1790/L1790*100</f>
        <v>16.905223350785338</v>
      </c>
      <c r="AE1790" s="385" t="s">
        <v>2718</v>
      </c>
    </row>
    <row r="1791" spans="1:31" s="63" customFormat="1" ht="38.25">
      <c r="A1791" s="497"/>
      <c r="B1791" s="383"/>
      <c r="C1791" s="1935" t="s">
        <v>66</v>
      </c>
      <c r="D1791" s="1236" t="s">
        <v>2558</v>
      </c>
      <c r="E1791" s="1236" t="s">
        <v>107</v>
      </c>
      <c r="F1791" s="1236" t="s">
        <v>66</v>
      </c>
      <c r="G1791" s="1236" t="s">
        <v>2803</v>
      </c>
      <c r="H1791" s="1236" t="s">
        <v>196</v>
      </c>
      <c r="I1791" s="385" t="s">
        <v>2811</v>
      </c>
      <c r="J1791" s="741" t="s">
        <v>2812</v>
      </c>
      <c r="K1791" s="2148">
        <v>112</v>
      </c>
      <c r="L1791" s="2119">
        <v>540000000</v>
      </c>
      <c r="M1791" s="2165">
        <v>50</v>
      </c>
      <c r="N1791" s="2047">
        <v>52205750</v>
      </c>
      <c r="O1791" s="385">
        <v>50</v>
      </c>
      <c r="P1791" s="2047">
        <v>49365662</v>
      </c>
      <c r="Q1791" s="2124"/>
      <c r="R1791" s="2047">
        <v>4958728</v>
      </c>
      <c r="S1791" s="385"/>
      <c r="T1791" s="385"/>
      <c r="U1791" s="385"/>
      <c r="V1791" s="385"/>
      <c r="W1791" s="385"/>
      <c r="X1791" s="385"/>
      <c r="Y1791" s="2124">
        <f>Q1791</f>
        <v>0</v>
      </c>
      <c r="Z1791" s="1944">
        <f>R1791</f>
        <v>4958728</v>
      </c>
      <c r="AA1791" s="2129">
        <f>M1791+Q1791</f>
        <v>50</v>
      </c>
      <c r="AB1791" s="1944">
        <f>N1791+Z1791</f>
        <v>57164478</v>
      </c>
      <c r="AC1791" s="389">
        <f t="shared" si="523"/>
        <v>44.642857142857146</v>
      </c>
      <c r="AD1791" s="389">
        <f>AB1791/L1791*100</f>
        <v>10.586014444444444</v>
      </c>
      <c r="AE1791" s="385" t="s">
        <v>2718</v>
      </c>
    </row>
    <row r="1792" spans="1:31" s="63" customFormat="1">
      <c r="A1792" s="2614" t="s">
        <v>2532</v>
      </c>
      <c r="B1792" s="2615"/>
      <c r="C1792" s="2615"/>
      <c r="D1792" s="2615"/>
      <c r="E1792" s="2615"/>
      <c r="F1792" s="2615"/>
      <c r="G1792" s="2615"/>
      <c r="H1792" s="2615"/>
      <c r="I1792" s="2615"/>
      <c r="J1792" s="2615"/>
      <c r="K1792" s="2615"/>
      <c r="L1792" s="2615"/>
      <c r="M1792" s="2615"/>
      <c r="N1792" s="2615"/>
      <c r="O1792" s="2615"/>
      <c r="P1792" s="2615"/>
      <c r="Q1792" s="2615"/>
      <c r="R1792" s="2615"/>
      <c r="S1792" s="2615"/>
      <c r="T1792" s="2615"/>
      <c r="U1792" s="2615"/>
      <c r="V1792" s="2615"/>
      <c r="W1792" s="2615"/>
      <c r="X1792" s="2615"/>
      <c r="Y1792" s="2615"/>
      <c r="Z1792" s="2615"/>
      <c r="AA1792" s="2615"/>
      <c r="AB1792" s="2616"/>
      <c r="AC1792" s="697">
        <f>(AC1790+AC1791)/2</f>
        <v>40.099206349206355</v>
      </c>
      <c r="AD1792" s="697">
        <f>(AD1790+AD1791)/2</f>
        <v>13.745618897614891</v>
      </c>
      <c r="AE1792" s="385"/>
    </row>
    <row r="1793" spans="1:31" s="63" customFormat="1">
      <c r="A1793" s="2614" t="s">
        <v>2533</v>
      </c>
      <c r="B1793" s="2615"/>
      <c r="C1793" s="2615"/>
      <c r="D1793" s="2615"/>
      <c r="E1793" s="2615"/>
      <c r="F1793" s="2615"/>
      <c r="G1793" s="2615"/>
      <c r="H1793" s="2615"/>
      <c r="I1793" s="2615"/>
      <c r="J1793" s="2615"/>
      <c r="K1793" s="2615"/>
      <c r="L1793" s="2615"/>
      <c r="M1793" s="2615"/>
      <c r="N1793" s="2615"/>
      <c r="O1793" s="2615"/>
      <c r="P1793" s="2615"/>
      <c r="Q1793" s="2615"/>
      <c r="R1793" s="2615"/>
      <c r="S1793" s="2615"/>
      <c r="T1793" s="2615"/>
      <c r="U1793" s="2615"/>
      <c r="V1793" s="2615"/>
      <c r="W1793" s="2615"/>
      <c r="X1793" s="2615"/>
      <c r="Y1793" s="2615"/>
      <c r="Z1793" s="2615"/>
      <c r="AA1793" s="2615"/>
      <c r="AB1793" s="2616"/>
      <c r="AC1793" s="2145" t="s">
        <v>2534</v>
      </c>
      <c r="AD1793" s="2145" t="s">
        <v>2534</v>
      </c>
      <c r="AE1793" s="385"/>
    </row>
    <row r="1794" spans="1:31" s="63" customFormat="1" ht="38.25">
      <c r="A1794" s="495">
        <v>31</v>
      </c>
      <c r="B1794" s="741" t="s">
        <v>2678</v>
      </c>
      <c r="C1794" s="1935" t="s">
        <v>66</v>
      </c>
      <c r="D1794" s="1236" t="s">
        <v>2558</v>
      </c>
      <c r="E1794" s="1236" t="s">
        <v>107</v>
      </c>
      <c r="F1794" s="1236" t="s">
        <v>66</v>
      </c>
      <c r="G1794" s="1236" t="s">
        <v>321</v>
      </c>
      <c r="H1794" s="1236"/>
      <c r="I1794" s="344" t="s">
        <v>2813</v>
      </c>
      <c r="J1794" s="741" t="s">
        <v>2814</v>
      </c>
      <c r="K1794" s="495" t="s">
        <v>2181</v>
      </c>
      <c r="L1794" s="2132">
        <f>SUM(L1795:L1797)</f>
        <v>1790000000</v>
      </c>
      <c r="M1794" s="2138" t="s">
        <v>2806</v>
      </c>
      <c r="N1794" s="2132">
        <f>SUM(N1795:N1797)</f>
        <v>33621900</v>
      </c>
      <c r="O1794" s="616" t="s">
        <v>2806</v>
      </c>
      <c r="P1794" s="2123">
        <f>SUM(P1795:P1797)</f>
        <v>202796544.5</v>
      </c>
      <c r="Q1794" s="2124"/>
      <c r="R1794" s="2123">
        <f>SUM(R1795:R1797)</f>
        <v>16971613</v>
      </c>
      <c r="S1794" s="616"/>
      <c r="T1794" s="616"/>
      <c r="U1794" s="616"/>
      <c r="V1794" s="616"/>
      <c r="W1794" s="616"/>
      <c r="X1794" s="616"/>
      <c r="Y1794" s="2124">
        <f t="shared" ref="Y1794:Z1797" si="524">Q1794</f>
        <v>0</v>
      </c>
      <c r="Z1794" s="1944">
        <f t="shared" si="524"/>
        <v>16971613</v>
      </c>
      <c r="AA1794" s="389"/>
      <c r="AB1794" s="1944">
        <f>N1794+Z1794</f>
        <v>50593513</v>
      </c>
      <c r="AC1794" s="616"/>
      <c r="AD1794" s="389">
        <f>AB1794/L1794*100</f>
        <v>2.8264532402234637</v>
      </c>
      <c r="AE1794" s="616"/>
    </row>
    <row r="1795" spans="1:31" s="63" customFormat="1" ht="38.25">
      <c r="A1795" s="497"/>
      <c r="B1795" s="383"/>
      <c r="C1795" s="1935" t="s">
        <v>66</v>
      </c>
      <c r="D1795" s="1236" t="s">
        <v>2558</v>
      </c>
      <c r="E1795" s="1236" t="s">
        <v>107</v>
      </c>
      <c r="F1795" s="1236" t="s">
        <v>66</v>
      </c>
      <c r="G1795" s="1236" t="s">
        <v>321</v>
      </c>
      <c r="H1795" s="1236" t="s">
        <v>66</v>
      </c>
      <c r="I1795" s="741" t="s">
        <v>2815</v>
      </c>
      <c r="J1795" s="741" t="s">
        <v>2816</v>
      </c>
      <c r="K1795" s="2119">
        <v>124</v>
      </c>
      <c r="L1795" s="2119">
        <v>530000000</v>
      </c>
      <c r="M1795" s="2147">
        <v>2</v>
      </c>
      <c r="N1795" s="2047">
        <f>33621900</f>
        <v>33621900</v>
      </c>
      <c r="O1795" s="2119">
        <v>17</v>
      </c>
      <c r="P1795" s="1941">
        <v>69324401.75</v>
      </c>
      <c r="Q1795" s="2166">
        <v>10</v>
      </c>
      <c r="R1795" s="2047">
        <v>11525613</v>
      </c>
      <c r="S1795" s="385"/>
      <c r="T1795" s="385"/>
      <c r="U1795" s="385"/>
      <c r="V1795" s="385"/>
      <c r="W1795" s="385"/>
      <c r="X1795" s="385"/>
      <c r="Y1795" s="2124">
        <f t="shared" si="524"/>
        <v>10</v>
      </c>
      <c r="Z1795" s="1944">
        <f t="shared" si="524"/>
        <v>11525613</v>
      </c>
      <c r="AA1795" s="2129">
        <f>M1795+Q1795</f>
        <v>12</v>
      </c>
      <c r="AB1795" s="1944">
        <f>N1795+Z1795</f>
        <v>45147513</v>
      </c>
      <c r="AC1795" s="389">
        <f t="shared" ref="AC1795:AC1797" si="525">AA1795/K1795*100</f>
        <v>9.67741935483871</v>
      </c>
      <c r="AD1795" s="389">
        <f>AB1795/L1795*100</f>
        <v>8.5183986792452835</v>
      </c>
      <c r="AE1795" s="385" t="s">
        <v>2718</v>
      </c>
    </row>
    <row r="1796" spans="1:31" s="63" customFormat="1" ht="38.25">
      <c r="A1796" s="497"/>
      <c r="B1796" s="383"/>
      <c r="C1796" s="1935" t="s">
        <v>66</v>
      </c>
      <c r="D1796" s="1236" t="s">
        <v>2558</v>
      </c>
      <c r="E1796" s="1236" t="s">
        <v>107</v>
      </c>
      <c r="F1796" s="1236" t="s">
        <v>66</v>
      </c>
      <c r="G1796" s="1236" t="s">
        <v>321</v>
      </c>
      <c r="H1796" s="1236" t="s">
        <v>95</v>
      </c>
      <c r="I1796" s="1936" t="s">
        <v>2817</v>
      </c>
      <c r="J1796" s="741" t="s">
        <v>2818</v>
      </c>
      <c r="K1796" s="2119">
        <v>8</v>
      </c>
      <c r="L1796" s="2144">
        <v>820000000</v>
      </c>
      <c r="M1796" s="2167" t="s">
        <v>2034</v>
      </c>
      <c r="N1796" s="385"/>
      <c r="O1796" s="2119">
        <v>2</v>
      </c>
      <c r="P1796" s="1941">
        <v>59042996.25</v>
      </c>
      <c r="Q1796" s="2166">
        <v>4</v>
      </c>
      <c r="R1796" s="2047">
        <v>2992000</v>
      </c>
      <c r="S1796" s="385"/>
      <c r="T1796" s="385"/>
      <c r="U1796" s="385"/>
      <c r="V1796" s="385"/>
      <c r="W1796" s="385"/>
      <c r="X1796" s="385"/>
      <c r="Y1796" s="2124">
        <f t="shared" si="524"/>
        <v>4</v>
      </c>
      <c r="Z1796" s="1944">
        <f t="shared" si="524"/>
        <v>2992000</v>
      </c>
      <c r="AA1796" s="2129">
        <f>M1796+Q1796</f>
        <v>4</v>
      </c>
      <c r="AB1796" s="1944">
        <f>N1796+Z1796</f>
        <v>2992000</v>
      </c>
      <c r="AC1796" s="389">
        <f t="shared" si="525"/>
        <v>50</v>
      </c>
      <c r="AD1796" s="389">
        <f>AB1796/L1796*100</f>
        <v>0.3648780487804878</v>
      </c>
      <c r="AE1796" s="385" t="s">
        <v>2718</v>
      </c>
    </row>
    <row r="1797" spans="1:31" s="63" customFormat="1" ht="25.5">
      <c r="A1797" s="497"/>
      <c r="B1797" s="383"/>
      <c r="C1797" s="1935" t="s">
        <v>66</v>
      </c>
      <c r="D1797" s="1236" t="s">
        <v>2558</v>
      </c>
      <c r="E1797" s="1236" t="s">
        <v>107</v>
      </c>
      <c r="F1797" s="1236" t="s">
        <v>66</v>
      </c>
      <c r="G1797" s="1236" t="s">
        <v>321</v>
      </c>
      <c r="H1797" s="1236" t="s">
        <v>93</v>
      </c>
      <c r="I1797" s="1936" t="s">
        <v>2819</v>
      </c>
      <c r="J1797" s="741" t="s">
        <v>2820</v>
      </c>
      <c r="K1797" s="2003">
        <v>16</v>
      </c>
      <c r="L1797" s="2144">
        <v>440000000</v>
      </c>
      <c r="M1797" s="2167" t="s">
        <v>2034</v>
      </c>
      <c r="N1797" s="385"/>
      <c r="O1797" s="2003">
        <v>4</v>
      </c>
      <c r="P1797" s="2047">
        <v>74429146.5</v>
      </c>
      <c r="Q1797" s="2166">
        <v>2</v>
      </c>
      <c r="R1797" s="2047">
        <v>2454000</v>
      </c>
      <c r="S1797" s="385"/>
      <c r="T1797" s="385"/>
      <c r="U1797" s="385"/>
      <c r="V1797" s="385"/>
      <c r="W1797" s="385"/>
      <c r="X1797" s="385"/>
      <c r="Y1797" s="2124">
        <f t="shared" si="524"/>
        <v>2</v>
      </c>
      <c r="Z1797" s="1944">
        <f t="shared" si="524"/>
        <v>2454000</v>
      </c>
      <c r="AA1797" s="2129">
        <f>M1797+Q1797</f>
        <v>2</v>
      </c>
      <c r="AB1797" s="1944">
        <f>N1797+Z1797</f>
        <v>2454000</v>
      </c>
      <c r="AC1797" s="389">
        <f t="shared" si="525"/>
        <v>12.5</v>
      </c>
      <c r="AD1797" s="389">
        <f>AB1797/L1797*100</f>
        <v>0.55772727272727274</v>
      </c>
      <c r="AE1797" s="385" t="s">
        <v>2718</v>
      </c>
    </row>
    <row r="1798" spans="1:31">
      <c r="A1798" s="2601" t="s">
        <v>2532</v>
      </c>
      <c r="B1798" s="2602"/>
      <c r="C1798" s="2602"/>
      <c r="D1798" s="2602"/>
      <c r="E1798" s="2602"/>
      <c r="F1798" s="2602"/>
      <c r="G1798" s="2602"/>
      <c r="H1798" s="2602"/>
      <c r="I1798" s="2602"/>
      <c r="J1798" s="2602"/>
      <c r="K1798" s="2602"/>
      <c r="L1798" s="2602"/>
      <c r="M1798" s="2602"/>
      <c r="N1798" s="2602"/>
      <c r="O1798" s="2602"/>
      <c r="P1798" s="2602"/>
      <c r="Q1798" s="2602"/>
      <c r="R1798" s="2602"/>
      <c r="S1798" s="2602"/>
      <c r="T1798" s="2602"/>
      <c r="U1798" s="2602"/>
      <c r="V1798" s="2602"/>
      <c r="W1798" s="2602"/>
      <c r="X1798" s="2602"/>
      <c r="Y1798" s="2602"/>
      <c r="Z1798" s="2602"/>
      <c r="AA1798" s="2602"/>
      <c r="AB1798" s="2603"/>
      <c r="AC1798" s="2028">
        <f>SUM(AC1795:AC1797)/3</f>
        <v>24.05913978494624</v>
      </c>
      <c r="AD1798" s="2028">
        <f>SUM(AD1795:AD1797)/3</f>
        <v>3.1470013335843485</v>
      </c>
      <c r="AE1798" s="64"/>
    </row>
    <row r="1799" spans="1:31">
      <c r="A1799" s="2601" t="s">
        <v>2533</v>
      </c>
      <c r="B1799" s="2602"/>
      <c r="C1799" s="2602"/>
      <c r="D1799" s="2602"/>
      <c r="E1799" s="2602"/>
      <c r="F1799" s="2602"/>
      <c r="G1799" s="2602"/>
      <c r="H1799" s="2602"/>
      <c r="I1799" s="2602"/>
      <c r="J1799" s="2602"/>
      <c r="K1799" s="2602"/>
      <c r="L1799" s="2602"/>
      <c r="M1799" s="2602"/>
      <c r="N1799" s="2602"/>
      <c r="O1799" s="2602"/>
      <c r="P1799" s="2602"/>
      <c r="Q1799" s="2602"/>
      <c r="R1799" s="2602"/>
      <c r="S1799" s="2602"/>
      <c r="T1799" s="2602"/>
      <c r="U1799" s="2602"/>
      <c r="V1799" s="2602"/>
      <c r="W1799" s="2602"/>
      <c r="X1799" s="2602"/>
      <c r="Y1799" s="2602"/>
      <c r="Z1799" s="2602"/>
      <c r="AA1799" s="2602"/>
      <c r="AB1799" s="2603"/>
      <c r="AC1799" s="2026" t="s">
        <v>2534</v>
      </c>
      <c r="AD1799" s="2026" t="s">
        <v>2534</v>
      </c>
      <c r="AE1799" s="64"/>
    </row>
    <row r="1800" spans="1:31">
      <c r="A1800" s="2617"/>
      <c r="B1800" s="2617"/>
      <c r="C1800" s="2617"/>
      <c r="D1800" s="2617"/>
      <c r="E1800" s="2617"/>
      <c r="F1800" s="2617"/>
      <c r="G1800" s="2617"/>
      <c r="H1800" s="2617"/>
      <c r="I1800" s="2617"/>
      <c r="J1800" s="2617"/>
      <c r="K1800" s="2617"/>
      <c r="L1800" s="2617"/>
      <c r="M1800" s="2617"/>
      <c r="N1800" s="2617"/>
      <c r="O1800" s="2617"/>
      <c r="P1800" s="2617"/>
      <c r="Q1800" s="2617"/>
      <c r="R1800" s="2617"/>
      <c r="S1800" s="2617"/>
      <c r="T1800" s="2617"/>
      <c r="U1800" s="2617"/>
      <c r="V1800" s="2617"/>
      <c r="W1800" s="2617"/>
      <c r="X1800" s="2617"/>
      <c r="Y1800" s="2617"/>
      <c r="Z1800" s="2617"/>
      <c r="AA1800" s="2617"/>
      <c r="AB1800" s="2617"/>
      <c r="AC1800" s="1692"/>
      <c r="AD1800" s="1692"/>
      <c r="AE1800" s="1692"/>
    </row>
    <row r="1801" spans="1:31">
      <c r="A1801" s="2618" t="s">
        <v>101</v>
      </c>
      <c r="B1801" s="2618"/>
      <c r="C1801" s="2618"/>
      <c r="D1801" s="2618"/>
      <c r="E1801" s="2618"/>
      <c r="F1801" s="2618"/>
      <c r="G1801" s="2618"/>
      <c r="H1801" s="2618"/>
      <c r="I1801" s="2618"/>
      <c r="J1801" s="2618"/>
      <c r="K1801" s="2618"/>
      <c r="L1801" s="2618"/>
      <c r="M1801" s="2618"/>
      <c r="N1801" s="2618"/>
      <c r="O1801" s="2618"/>
      <c r="P1801" s="2618"/>
      <c r="Q1801" s="2618"/>
      <c r="R1801" s="2618"/>
      <c r="S1801" s="2618"/>
      <c r="T1801" s="2618"/>
      <c r="U1801" s="2618"/>
      <c r="V1801" s="2618"/>
      <c r="W1801" s="2618"/>
      <c r="X1801" s="2618"/>
      <c r="Y1801" s="2618"/>
      <c r="Z1801" s="2618"/>
      <c r="AA1801" s="2618"/>
      <c r="AB1801" s="2618"/>
      <c r="AC1801" s="2050" t="e">
        <f>(AC1798+AC1792+AC1785+AC1778+AC1753+AC1749+AC1745+AC1740+AC1733+AC1725+AC1721+AC1716+AC1709+AC1704+#REF!+AC1686+AC1682+AC1678+AC1674+AC1671+AC1664+AC1653+AC1648+AC1643+AC1639+AC1635+AC1626+AC1620+AC1615+AC1610+AC1594)/31</f>
        <v>#REF!</v>
      </c>
      <c r="AD1801" s="2050" t="e">
        <f>(AD1798+AD1792+AD1785+AD1778+AD1753+AD1749+AD1745+AD1740+AD1733+AD1725+AD1721+AD1716+AD1709+AD1704+#REF!+AD1686+AD1682+AD1678+AD1674+AD1671+AD1664+AD1653+AD1648+AD1643+AD1639+AD1635+AD1626+AD1620+AD1615+AD1610+AD1594)/31</f>
        <v>#REF!</v>
      </c>
      <c r="AE1801" s="1692"/>
    </row>
    <row r="1802" spans="1:31">
      <c r="A1802" s="2618" t="s">
        <v>102</v>
      </c>
      <c r="B1802" s="2618"/>
      <c r="C1802" s="2618"/>
      <c r="D1802" s="2618"/>
      <c r="E1802" s="2618"/>
      <c r="F1802" s="2618"/>
      <c r="G1802" s="2618"/>
      <c r="H1802" s="2618"/>
      <c r="I1802" s="2618"/>
      <c r="J1802" s="2618"/>
      <c r="K1802" s="2618"/>
      <c r="L1802" s="2618"/>
      <c r="M1802" s="2618"/>
      <c r="N1802" s="2618"/>
      <c r="O1802" s="2618"/>
      <c r="P1802" s="2618"/>
      <c r="Q1802" s="2618"/>
      <c r="R1802" s="2618"/>
      <c r="S1802" s="2618"/>
      <c r="T1802" s="2618"/>
      <c r="U1802" s="2618"/>
      <c r="V1802" s="2618"/>
      <c r="W1802" s="2618"/>
      <c r="X1802" s="2618"/>
      <c r="Y1802" s="2618"/>
      <c r="Z1802" s="2618"/>
      <c r="AA1802" s="2618"/>
      <c r="AB1802" s="2618"/>
      <c r="AC1802" s="2051" t="s">
        <v>2534</v>
      </c>
      <c r="AD1802" s="2051" t="s">
        <v>2534</v>
      </c>
      <c r="AE1802" s="1692"/>
    </row>
    <row r="1803" spans="1:31">
      <c r="A1803" s="64"/>
      <c r="B1803" s="64"/>
      <c r="C1803" s="64"/>
      <c r="D1803" s="64"/>
      <c r="E1803" s="64"/>
      <c r="F1803" s="64"/>
      <c r="G1803" s="64"/>
      <c r="H1803" s="64"/>
      <c r="I1803" s="64"/>
      <c r="J1803" s="64"/>
      <c r="K1803" s="64"/>
      <c r="L1803" s="64"/>
      <c r="M1803" s="64"/>
      <c r="N1803" s="64"/>
      <c r="O1803" s="64"/>
      <c r="P1803" s="64"/>
      <c r="Q1803" s="64"/>
      <c r="R1803" s="64"/>
      <c r="S1803" s="64"/>
      <c r="T1803" s="64"/>
      <c r="U1803" s="64"/>
      <c r="V1803" s="64"/>
      <c r="W1803" s="64"/>
      <c r="X1803" s="64"/>
      <c r="Y1803" s="729"/>
      <c r="Z1803" s="64"/>
      <c r="AA1803" s="64"/>
      <c r="AB1803" s="64"/>
      <c r="AC1803" s="64"/>
      <c r="AD1803" s="64"/>
      <c r="AE1803" s="64"/>
    </row>
    <row r="1804" spans="1:31">
      <c r="A1804" s="67">
        <v>38</v>
      </c>
      <c r="B1804" s="67"/>
      <c r="C1804" s="67"/>
      <c r="D1804" s="67"/>
      <c r="E1804" s="67"/>
      <c r="F1804" s="67"/>
      <c r="G1804" s="67"/>
      <c r="H1804" s="67"/>
      <c r="I1804" s="68" t="s">
        <v>1020</v>
      </c>
      <c r="J1804" s="67"/>
      <c r="K1804" s="67"/>
      <c r="L1804" s="67"/>
      <c r="M1804" s="67"/>
      <c r="N1804" s="67"/>
      <c r="O1804" s="67"/>
      <c r="P1804" s="67"/>
      <c r="Q1804" s="67"/>
      <c r="R1804" s="67"/>
      <c r="S1804" s="67"/>
      <c r="T1804" s="67"/>
      <c r="U1804" s="67"/>
      <c r="V1804" s="67"/>
      <c r="W1804" s="67"/>
      <c r="X1804" s="67"/>
      <c r="Y1804" s="366"/>
      <c r="Z1804" s="67"/>
      <c r="AA1804" s="67"/>
      <c r="AB1804" s="67"/>
      <c r="AC1804" s="67"/>
      <c r="AD1804" s="67"/>
      <c r="AE1804" s="67"/>
    </row>
    <row r="1805" spans="1:31">
      <c r="A1805" s="64"/>
      <c r="B1805" s="64"/>
      <c r="C1805" s="64"/>
      <c r="D1805" s="64"/>
      <c r="E1805" s="64"/>
      <c r="F1805" s="64"/>
      <c r="G1805" s="64"/>
      <c r="H1805" s="64"/>
      <c r="I1805" s="64"/>
      <c r="J1805" s="64"/>
      <c r="K1805" s="64"/>
      <c r="L1805" s="64"/>
      <c r="M1805" s="64"/>
      <c r="N1805" s="64"/>
      <c r="O1805" s="64"/>
      <c r="P1805" s="64"/>
      <c r="Q1805" s="64"/>
      <c r="R1805" s="64"/>
      <c r="S1805" s="64"/>
      <c r="T1805" s="64"/>
      <c r="U1805" s="64"/>
      <c r="V1805" s="64"/>
      <c r="W1805" s="64"/>
      <c r="X1805" s="64"/>
      <c r="Y1805" s="729"/>
      <c r="Z1805" s="64"/>
      <c r="AA1805" s="64"/>
      <c r="AB1805" s="64"/>
      <c r="AC1805" s="64"/>
      <c r="AD1805" s="64"/>
      <c r="AE1805" s="64"/>
    </row>
    <row r="1806" spans="1:31">
      <c r="A1806" s="72"/>
      <c r="B1806" s="72"/>
      <c r="C1806" s="72"/>
      <c r="D1806" s="72"/>
      <c r="E1806" s="72"/>
      <c r="F1806" s="72"/>
      <c r="G1806" s="72"/>
      <c r="H1806" s="72"/>
      <c r="I1806" s="73" t="s">
        <v>1018</v>
      </c>
      <c r="J1806" s="72"/>
      <c r="K1806" s="72"/>
      <c r="L1806" s="72"/>
      <c r="M1806" s="72"/>
      <c r="N1806" s="72"/>
      <c r="O1806" s="72"/>
      <c r="P1806" s="72"/>
      <c r="Q1806" s="72"/>
      <c r="R1806" s="72"/>
      <c r="S1806" s="72"/>
      <c r="T1806" s="72"/>
      <c r="U1806" s="72"/>
      <c r="V1806" s="72"/>
      <c r="W1806" s="72"/>
      <c r="X1806" s="72"/>
      <c r="Y1806" s="561"/>
      <c r="Z1806" s="72"/>
      <c r="AA1806" s="72"/>
      <c r="AB1806" s="72"/>
      <c r="AC1806" s="72"/>
      <c r="AD1806" s="72"/>
      <c r="AE1806" s="72"/>
    </row>
    <row r="1807" spans="1:31">
      <c r="A1807" s="67">
        <v>39</v>
      </c>
      <c r="B1807" s="67"/>
      <c r="C1807" s="67"/>
      <c r="D1807" s="67"/>
      <c r="E1807" s="67"/>
      <c r="F1807" s="67"/>
      <c r="G1807" s="67"/>
      <c r="H1807" s="67"/>
      <c r="I1807" s="68" t="s">
        <v>1027</v>
      </c>
      <c r="J1807" s="67"/>
      <c r="K1807" s="67"/>
      <c r="L1807" s="67"/>
      <c r="M1807" s="67"/>
      <c r="N1807" s="67"/>
      <c r="O1807" s="67"/>
      <c r="P1807" s="67"/>
      <c r="Q1807" s="67"/>
      <c r="R1807" s="67"/>
      <c r="S1807" s="67"/>
      <c r="T1807" s="67"/>
      <c r="U1807" s="67"/>
      <c r="V1807" s="67"/>
      <c r="W1807" s="67"/>
      <c r="X1807" s="67"/>
      <c r="Y1807" s="366"/>
      <c r="Z1807" s="67"/>
      <c r="AA1807" s="67"/>
      <c r="AB1807" s="67"/>
      <c r="AC1807" s="67"/>
      <c r="AD1807" s="67"/>
      <c r="AE1807" s="67"/>
    </row>
    <row r="1808" spans="1:31" ht="25.5">
      <c r="A1808" s="655">
        <v>1</v>
      </c>
      <c r="B1808" s="655"/>
      <c r="C1808" s="655"/>
      <c r="D1808" s="655"/>
      <c r="E1808" s="655"/>
      <c r="F1808" s="655"/>
      <c r="G1808" s="655"/>
      <c r="H1808" s="655"/>
      <c r="I1808" s="652" t="s">
        <v>1021</v>
      </c>
      <c r="J1808" s="655"/>
      <c r="K1808" s="655"/>
      <c r="L1808" s="655"/>
      <c r="M1808" s="655"/>
      <c r="N1808" s="655"/>
      <c r="O1808" s="655"/>
      <c r="P1808" s="655"/>
      <c r="Q1808" s="655"/>
      <c r="R1808" s="655"/>
      <c r="S1808" s="655"/>
      <c r="T1808" s="655"/>
      <c r="U1808" s="655"/>
      <c r="V1808" s="655"/>
      <c r="W1808" s="655"/>
      <c r="X1808" s="655"/>
      <c r="Y1808" s="730"/>
      <c r="Z1808" s="655"/>
      <c r="AA1808" s="655"/>
      <c r="AB1808" s="655"/>
      <c r="AC1808" s="655"/>
      <c r="AD1808" s="655"/>
      <c r="AE1808" s="655"/>
    </row>
    <row r="1809" spans="1:31">
      <c r="A1809" s="385"/>
      <c r="B1809" s="385"/>
      <c r="C1809" s="385"/>
      <c r="D1809" s="385"/>
      <c r="E1809" s="385"/>
      <c r="F1809" s="385"/>
      <c r="G1809" s="385"/>
      <c r="H1809" s="385"/>
      <c r="I1809" s="385"/>
      <c r="J1809" s="385"/>
      <c r="K1809" s="385"/>
      <c r="L1809" s="385"/>
      <c r="M1809" s="385"/>
      <c r="N1809" s="385"/>
      <c r="O1809" s="385"/>
      <c r="P1809" s="385"/>
      <c r="Q1809" s="385"/>
      <c r="R1809" s="385"/>
      <c r="S1809" s="385"/>
      <c r="T1809" s="385"/>
      <c r="U1809" s="385"/>
      <c r="V1809" s="385"/>
      <c r="W1809" s="385"/>
      <c r="X1809" s="385"/>
      <c r="Y1809" s="1904"/>
      <c r="Z1809" s="385"/>
      <c r="AA1809" s="385"/>
      <c r="AB1809" s="385"/>
      <c r="AC1809" s="385"/>
      <c r="AD1809" s="385"/>
      <c r="AE1809" s="385"/>
    </row>
    <row r="1810" spans="1:31" ht="25.5">
      <c r="A1810" s="655">
        <v>2</v>
      </c>
      <c r="B1810" s="655"/>
      <c r="C1810" s="655"/>
      <c r="D1810" s="655"/>
      <c r="E1810" s="655"/>
      <c r="F1810" s="655"/>
      <c r="G1810" s="655"/>
      <c r="H1810" s="655"/>
      <c r="I1810" s="652" t="s">
        <v>1033</v>
      </c>
      <c r="J1810" s="655"/>
      <c r="K1810" s="655"/>
      <c r="L1810" s="655"/>
      <c r="M1810" s="655"/>
      <c r="N1810" s="655"/>
      <c r="O1810" s="655"/>
      <c r="P1810" s="655"/>
      <c r="Q1810" s="655"/>
      <c r="R1810" s="655"/>
      <c r="S1810" s="655"/>
      <c r="T1810" s="655"/>
      <c r="U1810" s="655"/>
      <c r="V1810" s="655"/>
      <c r="W1810" s="655"/>
      <c r="X1810" s="655"/>
      <c r="Y1810" s="730"/>
      <c r="Z1810" s="655"/>
      <c r="AA1810" s="655"/>
      <c r="AB1810" s="655"/>
      <c r="AC1810" s="655"/>
      <c r="AD1810" s="655"/>
      <c r="AE1810" s="655"/>
    </row>
    <row r="1811" spans="1:31">
      <c r="A1811" s="385"/>
      <c r="B1811" s="385"/>
      <c r="C1811" s="385"/>
      <c r="D1811" s="385"/>
      <c r="E1811" s="385"/>
      <c r="F1811" s="385"/>
      <c r="G1811" s="385"/>
      <c r="H1811" s="385"/>
      <c r="I1811" s="385"/>
      <c r="J1811" s="385"/>
      <c r="K1811" s="385"/>
      <c r="L1811" s="385"/>
      <c r="M1811" s="385"/>
      <c r="N1811" s="385"/>
      <c r="O1811" s="385"/>
      <c r="P1811" s="385"/>
      <c r="Q1811" s="385"/>
      <c r="R1811" s="385"/>
      <c r="S1811" s="385"/>
      <c r="T1811" s="385"/>
      <c r="U1811" s="385"/>
      <c r="V1811" s="385"/>
      <c r="W1811" s="385"/>
      <c r="X1811" s="385"/>
      <c r="Y1811" s="1904"/>
      <c r="Z1811" s="385"/>
      <c r="AA1811" s="385"/>
      <c r="AB1811" s="385"/>
      <c r="AC1811" s="385"/>
      <c r="AD1811" s="385"/>
      <c r="AE1811" s="385"/>
    </row>
    <row r="1812" spans="1:31" ht="25.5">
      <c r="A1812" s="655">
        <v>3</v>
      </c>
      <c r="B1812" s="655"/>
      <c r="C1812" s="655"/>
      <c r="D1812" s="655"/>
      <c r="E1812" s="655"/>
      <c r="F1812" s="655"/>
      <c r="G1812" s="655"/>
      <c r="H1812" s="655"/>
      <c r="I1812" s="652" t="s">
        <v>1022</v>
      </c>
      <c r="J1812" s="655"/>
      <c r="K1812" s="655"/>
      <c r="L1812" s="655"/>
      <c r="M1812" s="655"/>
      <c r="N1812" s="655"/>
      <c r="O1812" s="655"/>
      <c r="P1812" s="655"/>
      <c r="Q1812" s="655"/>
      <c r="R1812" s="655"/>
      <c r="S1812" s="655"/>
      <c r="T1812" s="655"/>
      <c r="U1812" s="655"/>
      <c r="V1812" s="655"/>
      <c r="W1812" s="655"/>
      <c r="X1812" s="655"/>
      <c r="Y1812" s="730"/>
      <c r="Z1812" s="655"/>
      <c r="AA1812" s="655"/>
      <c r="AB1812" s="655"/>
      <c r="AC1812" s="655"/>
      <c r="AD1812" s="655"/>
      <c r="AE1812" s="655"/>
    </row>
    <row r="1813" spans="1:31">
      <c r="A1813" s="385"/>
      <c r="B1813" s="385"/>
      <c r="C1813" s="385"/>
      <c r="D1813" s="385"/>
      <c r="E1813" s="385"/>
      <c r="F1813" s="385"/>
      <c r="G1813" s="385"/>
      <c r="H1813" s="385"/>
      <c r="I1813" s="385"/>
      <c r="J1813" s="385"/>
      <c r="K1813" s="385"/>
      <c r="L1813" s="385"/>
      <c r="M1813" s="385"/>
      <c r="N1813" s="385"/>
      <c r="O1813" s="385"/>
      <c r="P1813" s="385"/>
      <c r="Q1813" s="385"/>
      <c r="R1813" s="385"/>
      <c r="S1813" s="385"/>
      <c r="T1813" s="385"/>
      <c r="U1813" s="385"/>
      <c r="V1813" s="385"/>
      <c r="W1813" s="385"/>
      <c r="X1813" s="385"/>
      <c r="Y1813" s="1904"/>
      <c r="Z1813" s="385"/>
      <c r="AA1813" s="385"/>
      <c r="AB1813" s="385"/>
      <c r="AC1813" s="385"/>
      <c r="AD1813" s="385"/>
      <c r="AE1813" s="385"/>
    </row>
    <row r="1814" spans="1:31">
      <c r="A1814" s="655">
        <v>4</v>
      </c>
      <c r="B1814" s="655"/>
      <c r="C1814" s="655"/>
      <c r="D1814" s="655"/>
      <c r="E1814" s="655"/>
      <c r="F1814" s="655"/>
      <c r="G1814" s="655"/>
      <c r="H1814" s="655"/>
      <c r="I1814" s="652" t="s">
        <v>1023</v>
      </c>
      <c r="J1814" s="655"/>
      <c r="K1814" s="655"/>
      <c r="L1814" s="655"/>
      <c r="M1814" s="655"/>
      <c r="N1814" s="655"/>
      <c r="O1814" s="655"/>
      <c r="P1814" s="655"/>
      <c r="Q1814" s="655"/>
      <c r="R1814" s="655"/>
      <c r="S1814" s="655"/>
      <c r="T1814" s="655"/>
      <c r="U1814" s="655"/>
      <c r="V1814" s="655"/>
      <c r="W1814" s="655"/>
      <c r="X1814" s="655"/>
      <c r="Y1814" s="730"/>
      <c r="Z1814" s="655"/>
      <c r="AA1814" s="655"/>
      <c r="AB1814" s="655"/>
      <c r="AC1814" s="655"/>
      <c r="AD1814" s="655"/>
      <c r="AE1814" s="655"/>
    </row>
    <row r="1815" spans="1:31">
      <c r="A1815" s="385"/>
      <c r="B1815" s="385"/>
      <c r="C1815" s="385"/>
      <c r="D1815" s="385"/>
      <c r="E1815" s="385"/>
      <c r="F1815" s="385"/>
      <c r="G1815" s="385"/>
      <c r="H1815" s="385"/>
      <c r="I1815" s="385"/>
      <c r="J1815" s="385"/>
      <c r="K1815" s="385"/>
      <c r="L1815" s="385"/>
      <c r="M1815" s="385"/>
      <c r="N1815" s="385"/>
      <c r="O1815" s="385"/>
      <c r="P1815" s="385"/>
      <c r="Q1815" s="385"/>
      <c r="R1815" s="385"/>
      <c r="S1815" s="385"/>
      <c r="T1815" s="385"/>
      <c r="U1815" s="385"/>
      <c r="V1815" s="385"/>
      <c r="W1815" s="385"/>
      <c r="X1815" s="385"/>
      <c r="Y1815" s="1904"/>
      <c r="Z1815" s="385"/>
      <c r="AA1815" s="385"/>
      <c r="AB1815" s="385"/>
      <c r="AC1815" s="385"/>
      <c r="AD1815" s="385"/>
      <c r="AE1815" s="385"/>
    </row>
    <row r="1816" spans="1:31" ht="25.5">
      <c r="A1816" s="655">
        <v>5</v>
      </c>
      <c r="B1816" s="655"/>
      <c r="C1816" s="655"/>
      <c r="D1816" s="655"/>
      <c r="E1816" s="655"/>
      <c r="F1816" s="655"/>
      <c r="G1816" s="655"/>
      <c r="H1816" s="655"/>
      <c r="I1816" s="652" t="s">
        <v>1024</v>
      </c>
      <c r="J1816" s="655"/>
      <c r="K1816" s="655"/>
      <c r="L1816" s="655"/>
      <c r="M1816" s="655"/>
      <c r="N1816" s="655"/>
      <c r="O1816" s="655"/>
      <c r="P1816" s="655"/>
      <c r="Q1816" s="655"/>
      <c r="R1816" s="655"/>
      <c r="S1816" s="655"/>
      <c r="T1816" s="655"/>
      <c r="U1816" s="655"/>
      <c r="V1816" s="655"/>
      <c r="W1816" s="655"/>
      <c r="X1816" s="655"/>
      <c r="Y1816" s="730"/>
      <c r="Z1816" s="655"/>
      <c r="AA1816" s="655"/>
      <c r="AB1816" s="655"/>
      <c r="AC1816" s="655"/>
      <c r="AD1816" s="655"/>
      <c r="AE1816" s="655"/>
    </row>
    <row r="1817" spans="1:31">
      <c r="A1817" s="385"/>
      <c r="B1817" s="385"/>
      <c r="C1817" s="385"/>
      <c r="D1817" s="385"/>
      <c r="E1817" s="385"/>
      <c r="F1817" s="385"/>
      <c r="G1817" s="385"/>
      <c r="H1817" s="385"/>
      <c r="I1817" s="385"/>
      <c r="J1817" s="385"/>
      <c r="K1817" s="385"/>
      <c r="L1817" s="385"/>
      <c r="M1817" s="385"/>
      <c r="N1817" s="385"/>
      <c r="O1817" s="385"/>
      <c r="P1817" s="385"/>
      <c r="Q1817" s="385"/>
      <c r="R1817" s="385"/>
      <c r="S1817" s="385"/>
      <c r="T1817" s="385"/>
      <c r="U1817" s="385"/>
      <c r="V1817" s="385"/>
      <c r="W1817" s="385"/>
      <c r="X1817" s="385"/>
      <c r="Y1817" s="1904"/>
      <c r="Z1817" s="385"/>
      <c r="AA1817" s="385"/>
      <c r="AB1817" s="385"/>
      <c r="AC1817" s="385"/>
      <c r="AD1817" s="385"/>
      <c r="AE1817" s="385"/>
    </row>
    <row r="1818" spans="1:31">
      <c r="A1818" s="655">
        <v>6</v>
      </c>
      <c r="B1818" s="655"/>
      <c r="C1818" s="655"/>
      <c r="D1818" s="655"/>
      <c r="E1818" s="655"/>
      <c r="F1818" s="655"/>
      <c r="G1818" s="655"/>
      <c r="H1818" s="655"/>
      <c r="I1818" s="652" t="s">
        <v>1025</v>
      </c>
      <c r="J1818" s="655"/>
      <c r="K1818" s="655"/>
      <c r="L1818" s="655"/>
      <c r="M1818" s="655"/>
      <c r="N1818" s="655"/>
      <c r="O1818" s="655"/>
      <c r="P1818" s="655"/>
      <c r="Q1818" s="655"/>
      <c r="R1818" s="655"/>
      <c r="S1818" s="655"/>
      <c r="T1818" s="655"/>
      <c r="U1818" s="655"/>
      <c r="V1818" s="655"/>
      <c r="W1818" s="655"/>
      <c r="X1818" s="655"/>
      <c r="Y1818" s="730"/>
      <c r="Z1818" s="655"/>
      <c r="AA1818" s="655"/>
      <c r="AB1818" s="655"/>
      <c r="AC1818" s="655"/>
      <c r="AD1818" s="655"/>
      <c r="AE1818" s="655"/>
    </row>
    <row r="1819" spans="1:31">
      <c r="A1819" s="385"/>
      <c r="B1819" s="385"/>
      <c r="C1819" s="385"/>
      <c r="D1819" s="385"/>
      <c r="E1819" s="385"/>
      <c r="F1819" s="385"/>
      <c r="G1819" s="385"/>
      <c r="H1819" s="385"/>
      <c r="I1819" s="385"/>
      <c r="J1819" s="385"/>
      <c r="K1819" s="385"/>
      <c r="L1819" s="385"/>
      <c r="M1819" s="385"/>
      <c r="N1819" s="385"/>
      <c r="O1819" s="385"/>
      <c r="P1819" s="385"/>
      <c r="Q1819" s="385"/>
      <c r="R1819" s="385"/>
      <c r="S1819" s="385"/>
      <c r="T1819" s="385"/>
      <c r="U1819" s="385"/>
      <c r="V1819" s="385"/>
      <c r="W1819" s="385"/>
      <c r="X1819" s="385"/>
      <c r="Y1819" s="1904"/>
      <c r="Z1819" s="385"/>
      <c r="AA1819" s="385"/>
      <c r="AB1819" s="385"/>
      <c r="AC1819" s="385"/>
      <c r="AD1819" s="385"/>
      <c r="AE1819" s="385"/>
    </row>
    <row r="1820" spans="1:31">
      <c r="A1820" s="655">
        <v>7</v>
      </c>
      <c r="B1820" s="655"/>
      <c r="C1820" s="655"/>
      <c r="D1820" s="655"/>
      <c r="E1820" s="655"/>
      <c r="F1820" s="655"/>
      <c r="G1820" s="655"/>
      <c r="H1820" s="655"/>
      <c r="I1820" s="652" t="s">
        <v>1026</v>
      </c>
      <c r="J1820" s="655"/>
      <c r="K1820" s="655"/>
      <c r="L1820" s="655"/>
      <c r="M1820" s="655"/>
      <c r="N1820" s="655"/>
      <c r="O1820" s="655"/>
      <c r="P1820" s="655"/>
      <c r="Q1820" s="655"/>
      <c r="R1820" s="655"/>
      <c r="S1820" s="655"/>
      <c r="T1820" s="655"/>
      <c r="U1820" s="655"/>
      <c r="V1820" s="655"/>
      <c r="W1820" s="655"/>
      <c r="X1820" s="655"/>
      <c r="Y1820" s="730"/>
      <c r="Z1820" s="655"/>
      <c r="AA1820" s="655"/>
      <c r="AB1820" s="655"/>
      <c r="AC1820" s="655"/>
      <c r="AD1820" s="655"/>
      <c r="AE1820" s="655"/>
    </row>
    <row r="1821" spans="1:31">
      <c r="A1821" s="385"/>
      <c r="B1821" s="385"/>
      <c r="C1821" s="385"/>
      <c r="D1821" s="385"/>
      <c r="E1821" s="385"/>
      <c r="F1821" s="385"/>
      <c r="G1821" s="385"/>
      <c r="H1821" s="385"/>
      <c r="I1821" s="385"/>
      <c r="J1821" s="385"/>
      <c r="K1821" s="385"/>
      <c r="L1821" s="385"/>
      <c r="M1821" s="385"/>
      <c r="N1821" s="385"/>
      <c r="O1821" s="385"/>
      <c r="P1821" s="385"/>
      <c r="Q1821" s="385"/>
      <c r="R1821" s="385"/>
      <c r="S1821" s="385"/>
      <c r="T1821" s="385"/>
      <c r="U1821" s="385"/>
      <c r="V1821" s="385"/>
      <c r="W1821" s="385"/>
      <c r="X1821" s="385"/>
      <c r="Y1821" s="1904"/>
      <c r="Z1821" s="385"/>
      <c r="AA1821" s="385"/>
      <c r="AB1821" s="385"/>
      <c r="AC1821" s="385"/>
      <c r="AD1821" s="385"/>
      <c r="AE1821" s="385"/>
    </row>
    <row r="1822" spans="1:31" ht="25.5">
      <c r="A1822" s="655">
        <v>8</v>
      </c>
      <c r="B1822" s="655"/>
      <c r="C1822" s="655"/>
      <c r="D1822" s="655"/>
      <c r="E1822" s="655"/>
      <c r="F1822" s="655"/>
      <c r="G1822" s="655"/>
      <c r="H1822" s="655"/>
      <c r="I1822" s="652" t="s">
        <v>1028</v>
      </c>
      <c r="J1822" s="655"/>
      <c r="K1822" s="655"/>
      <c r="L1822" s="655"/>
      <c r="M1822" s="655"/>
      <c r="N1822" s="655"/>
      <c r="O1822" s="655"/>
      <c r="P1822" s="655"/>
      <c r="Q1822" s="655"/>
      <c r="R1822" s="655"/>
      <c r="S1822" s="655"/>
      <c r="T1822" s="655"/>
      <c r="U1822" s="655"/>
      <c r="V1822" s="655"/>
      <c r="W1822" s="655"/>
      <c r="X1822" s="655"/>
      <c r="Y1822" s="730"/>
      <c r="Z1822" s="655"/>
      <c r="AA1822" s="655"/>
      <c r="AB1822" s="655"/>
      <c r="AC1822" s="655"/>
      <c r="AD1822" s="655"/>
      <c r="AE1822" s="655"/>
    </row>
    <row r="1823" spans="1:31">
      <c r="A1823" s="385"/>
      <c r="B1823" s="385"/>
      <c r="C1823" s="385"/>
      <c r="D1823" s="385"/>
      <c r="E1823" s="385"/>
      <c r="F1823" s="385"/>
      <c r="G1823" s="385"/>
      <c r="H1823" s="385"/>
      <c r="I1823" s="385"/>
      <c r="J1823" s="385"/>
      <c r="K1823" s="385"/>
      <c r="L1823" s="385"/>
      <c r="M1823" s="385"/>
      <c r="N1823" s="385"/>
      <c r="O1823" s="385"/>
      <c r="P1823" s="385"/>
      <c r="Q1823" s="385"/>
      <c r="R1823" s="385"/>
      <c r="S1823" s="385"/>
      <c r="T1823" s="385"/>
      <c r="U1823" s="385"/>
      <c r="V1823" s="385"/>
      <c r="W1823" s="385"/>
      <c r="X1823" s="385"/>
      <c r="Y1823" s="1904"/>
      <c r="Z1823" s="385"/>
      <c r="AA1823" s="385"/>
      <c r="AB1823" s="385"/>
      <c r="AC1823" s="385"/>
      <c r="AD1823" s="385"/>
      <c r="AE1823" s="385"/>
    </row>
    <row r="1824" spans="1:31" ht="25.5">
      <c r="A1824" s="655">
        <v>9</v>
      </c>
      <c r="B1824" s="655"/>
      <c r="C1824" s="655"/>
      <c r="D1824" s="655"/>
      <c r="E1824" s="655"/>
      <c r="F1824" s="655"/>
      <c r="G1824" s="655"/>
      <c r="H1824" s="655"/>
      <c r="I1824" s="652" t="s">
        <v>1029</v>
      </c>
      <c r="J1824" s="655"/>
      <c r="K1824" s="655"/>
      <c r="L1824" s="655"/>
      <c r="M1824" s="655"/>
      <c r="N1824" s="655"/>
      <c r="O1824" s="655"/>
      <c r="P1824" s="655"/>
      <c r="Q1824" s="655"/>
      <c r="R1824" s="655"/>
      <c r="S1824" s="655"/>
      <c r="T1824" s="655"/>
      <c r="U1824" s="655"/>
      <c r="V1824" s="655"/>
      <c r="W1824" s="655"/>
      <c r="X1824" s="655"/>
      <c r="Y1824" s="730"/>
      <c r="Z1824" s="655"/>
      <c r="AA1824" s="655"/>
      <c r="AB1824" s="655"/>
      <c r="AC1824" s="655"/>
      <c r="AD1824" s="655"/>
      <c r="AE1824" s="655"/>
    </row>
    <row r="1825" spans="1:31">
      <c r="A1825" s="385"/>
      <c r="B1825" s="385"/>
      <c r="C1825" s="385"/>
      <c r="D1825" s="385"/>
      <c r="E1825" s="385"/>
      <c r="F1825" s="385"/>
      <c r="G1825" s="385"/>
      <c r="H1825" s="385"/>
      <c r="I1825" s="385"/>
      <c r="J1825" s="385"/>
      <c r="K1825" s="385"/>
      <c r="L1825" s="385"/>
      <c r="M1825" s="385"/>
      <c r="N1825" s="385"/>
      <c r="O1825" s="385"/>
      <c r="P1825" s="385"/>
      <c r="Q1825" s="385"/>
      <c r="R1825" s="385"/>
      <c r="S1825" s="385"/>
      <c r="T1825" s="385"/>
      <c r="U1825" s="385"/>
      <c r="V1825" s="385"/>
      <c r="W1825" s="385"/>
      <c r="X1825" s="385"/>
      <c r="Y1825" s="1904"/>
      <c r="Z1825" s="385"/>
      <c r="AA1825" s="385"/>
      <c r="AB1825" s="385"/>
      <c r="AC1825" s="385"/>
      <c r="AD1825" s="385"/>
      <c r="AE1825" s="385"/>
    </row>
    <row r="1826" spans="1:31">
      <c r="A1826" s="655">
        <v>10</v>
      </c>
      <c r="B1826" s="655"/>
      <c r="C1826" s="655"/>
      <c r="D1826" s="655"/>
      <c r="E1826" s="655"/>
      <c r="F1826" s="655"/>
      <c r="G1826" s="655"/>
      <c r="H1826" s="655"/>
      <c r="I1826" s="652" t="s">
        <v>1030</v>
      </c>
      <c r="J1826" s="655"/>
      <c r="K1826" s="655"/>
      <c r="L1826" s="655"/>
      <c r="M1826" s="655"/>
      <c r="N1826" s="655"/>
      <c r="O1826" s="655"/>
      <c r="P1826" s="655"/>
      <c r="Q1826" s="655"/>
      <c r="R1826" s="655"/>
      <c r="S1826" s="655"/>
      <c r="T1826" s="655"/>
      <c r="U1826" s="655"/>
      <c r="V1826" s="655"/>
      <c r="W1826" s="655"/>
      <c r="X1826" s="655"/>
      <c r="Y1826" s="730"/>
      <c r="Z1826" s="655"/>
      <c r="AA1826" s="655"/>
      <c r="AB1826" s="655"/>
      <c r="AC1826" s="655"/>
      <c r="AD1826" s="655"/>
      <c r="AE1826" s="655"/>
    </row>
    <row r="1827" spans="1:31">
      <c r="A1827" s="385"/>
      <c r="B1827" s="385"/>
      <c r="C1827" s="385"/>
      <c r="D1827" s="385"/>
      <c r="E1827" s="385"/>
      <c r="F1827" s="385"/>
      <c r="G1827" s="385"/>
      <c r="H1827" s="385"/>
      <c r="I1827" s="385"/>
      <c r="J1827" s="385"/>
      <c r="K1827" s="385"/>
      <c r="L1827" s="385"/>
      <c r="M1827" s="385"/>
      <c r="N1827" s="385"/>
      <c r="O1827" s="385"/>
      <c r="P1827" s="385"/>
      <c r="Q1827" s="385"/>
      <c r="R1827" s="385"/>
      <c r="S1827" s="385"/>
      <c r="T1827" s="385"/>
      <c r="U1827" s="385"/>
      <c r="V1827" s="385"/>
      <c r="W1827" s="385"/>
      <c r="X1827" s="385"/>
      <c r="Y1827" s="1904"/>
      <c r="Z1827" s="385"/>
      <c r="AA1827" s="385"/>
      <c r="AB1827" s="385"/>
      <c r="AC1827" s="385"/>
      <c r="AD1827" s="385"/>
      <c r="AE1827" s="385"/>
    </row>
    <row r="1828" spans="1:31" ht="25.5">
      <c r="A1828" s="655">
        <v>11</v>
      </c>
      <c r="B1828" s="655"/>
      <c r="C1828" s="655"/>
      <c r="D1828" s="655"/>
      <c r="E1828" s="655"/>
      <c r="F1828" s="655"/>
      <c r="G1828" s="655"/>
      <c r="H1828" s="655"/>
      <c r="I1828" s="652" t="s">
        <v>1031</v>
      </c>
      <c r="J1828" s="655"/>
      <c r="K1828" s="655"/>
      <c r="L1828" s="655"/>
      <c r="M1828" s="655"/>
      <c r="N1828" s="655"/>
      <c r="O1828" s="655"/>
      <c r="P1828" s="655"/>
      <c r="Q1828" s="655"/>
      <c r="R1828" s="655"/>
      <c r="S1828" s="655"/>
      <c r="T1828" s="655"/>
      <c r="U1828" s="655"/>
      <c r="V1828" s="655"/>
      <c r="W1828" s="655"/>
      <c r="X1828" s="655"/>
      <c r="Y1828" s="730"/>
      <c r="Z1828" s="655"/>
      <c r="AA1828" s="655"/>
      <c r="AB1828" s="655"/>
      <c r="AC1828" s="655"/>
      <c r="AD1828" s="655"/>
      <c r="AE1828" s="655"/>
    </row>
    <row r="1829" spans="1:31">
      <c r="A1829" s="385"/>
      <c r="B1829" s="385"/>
      <c r="C1829" s="385"/>
      <c r="D1829" s="385"/>
      <c r="E1829" s="385"/>
      <c r="F1829" s="385"/>
      <c r="G1829" s="385"/>
      <c r="H1829" s="385"/>
      <c r="I1829" s="385"/>
      <c r="J1829" s="385"/>
      <c r="K1829" s="385"/>
      <c r="L1829" s="385"/>
      <c r="M1829" s="385"/>
      <c r="N1829" s="385"/>
      <c r="O1829" s="385"/>
      <c r="P1829" s="385"/>
      <c r="Q1829" s="385"/>
      <c r="R1829" s="385"/>
      <c r="S1829" s="385"/>
      <c r="T1829" s="385"/>
      <c r="U1829" s="385"/>
      <c r="V1829" s="385"/>
      <c r="W1829" s="385"/>
      <c r="X1829" s="385"/>
      <c r="Y1829" s="1904"/>
      <c r="Z1829" s="385"/>
      <c r="AA1829" s="385"/>
      <c r="AB1829" s="385"/>
      <c r="AC1829" s="385"/>
      <c r="AD1829" s="385"/>
      <c r="AE1829" s="385"/>
    </row>
    <row r="1830" spans="1:31" ht="25.5">
      <c r="A1830" s="655">
        <v>12</v>
      </c>
      <c r="B1830" s="655"/>
      <c r="C1830" s="655"/>
      <c r="D1830" s="655"/>
      <c r="E1830" s="655"/>
      <c r="F1830" s="655"/>
      <c r="G1830" s="655"/>
      <c r="H1830" s="655"/>
      <c r="I1830" s="652" t="s">
        <v>1032</v>
      </c>
      <c r="J1830" s="655"/>
      <c r="K1830" s="655"/>
      <c r="L1830" s="655"/>
      <c r="M1830" s="655"/>
      <c r="N1830" s="655"/>
      <c r="O1830" s="655"/>
      <c r="P1830" s="655"/>
      <c r="Q1830" s="655"/>
      <c r="R1830" s="655"/>
      <c r="S1830" s="655"/>
      <c r="T1830" s="655"/>
      <c r="U1830" s="655"/>
      <c r="V1830" s="655"/>
      <c r="W1830" s="655"/>
      <c r="X1830" s="655"/>
      <c r="Y1830" s="730"/>
      <c r="Z1830" s="655"/>
      <c r="AA1830" s="655"/>
      <c r="AB1830" s="655"/>
      <c r="AC1830" s="655"/>
      <c r="AD1830" s="655"/>
      <c r="AE1830" s="655"/>
    </row>
    <row r="1831" spans="1:31">
      <c r="A1831" s="385"/>
      <c r="B1831" s="385"/>
      <c r="C1831" s="385"/>
      <c r="D1831" s="385"/>
      <c r="E1831" s="385"/>
      <c r="F1831" s="385"/>
      <c r="G1831" s="385"/>
      <c r="H1831" s="385"/>
      <c r="I1831" s="385"/>
      <c r="J1831" s="385"/>
      <c r="K1831" s="385"/>
      <c r="L1831" s="385"/>
      <c r="M1831" s="385"/>
      <c r="N1831" s="385"/>
      <c r="O1831" s="385"/>
      <c r="P1831" s="385"/>
      <c r="Q1831" s="385"/>
      <c r="R1831" s="385"/>
      <c r="S1831" s="385"/>
      <c r="T1831" s="385"/>
      <c r="U1831" s="385"/>
      <c r="V1831" s="385"/>
      <c r="W1831" s="385"/>
      <c r="X1831" s="385"/>
      <c r="Y1831" s="1904"/>
      <c r="Z1831" s="385"/>
      <c r="AA1831" s="385"/>
      <c r="AB1831" s="385"/>
      <c r="AC1831" s="385"/>
      <c r="AD1831" s="385"/>
      <c r="AE1831" s="385"/>
    </row>
    <row r="1832" spans="1:31" ht="25.5">
      <c r="A1832" s="655">
        <v>13</v>
      </c>
      <c r="B1832" s="655"/>
      <c r="C1832" s="655"/>
      <c r="D1832" s="655"/>
      <c r="E1832" s="655"/>
      <c r="F1832" s="655"/>
      <c r="G1832" s="655"/>
      <c r="H1832" s="655"/>
      <c r="I1832" s="652" t="s">
        <v>1034</v>
      </c>
      <c r="J1832" s="655"/>
      <c r="K1832" s="655"/>
      <c r="L1832" s="655"/>
      <c r="M1832" s="655"/>
      <c r="N1832" s="655"/>
      <c r="O1832" s="655"/>
      <c r="P1832" s="655"/>
      <c r="Q1832" s="655"/>
      <c r="R1832" s="655"/>
      <c r="S1832" s="655"/>
      <c r="T1832" s="655"/>
      <c r="U1832" s="655"/>
      <c r="V1832" s="655"/>
      <c r="W1832" s="655"/>
      <c r="X1832" s="655"/>
      <c r="Y1832" s="730"/>
      <c r="Z1832" s="655"/>
      <c r="AA1832" s="655"/>
      <c r="AB1832" s="655"/>
      <c r="AC1832" s="655"/>
      <c r="AD1832" s="655"/>
      <c r="AE1832" s="655"/>
    </row>
    <row r="1833" spans="1:31">
      <c r="A1833" s="385"/>
      <c r="B1833" s="385"/>
      <c r="C1833" s="385"/>
      <c r="D1833" s="385"/>
      <c r="E1833" s="385"/>
      <c r="F1833" s="385"/>
      <c r="G1833" s="385"/>
      <c r="H1833" s="385"/>
      <c r="I1833" s="385"/>
      <c r="J1833" s="385"/>
      <c r="K1833" s="385"/>
      <c r="L1833" s="385"/>
      <c r="M1833" s="385"/>
      <c r="N1833" s="385"/>
      <c r="O1833" s="385"/>
      <c r="P1833" s="385"/>
      <c r="Q1833" s="385"/>
      <c r="R1833" s="385"/>
      <c r="S1833" s="385"/>
      <c r="T1833" s="385"/>
      <c r="U1833" s="385"/>
      <c r="V1833" s="385"/>
      <c r="W1833" s="385"/>
      <c r="X1833" s="385"/>
      <c r="Y1833" s="1904"/>
      <c r="Z1833" s="385"/>
      <c r="AA1833" s="385"/>
      <c r="AB1833" s="385"/>
      <c r="AC1833" s="385"/>
      <c r="AD1833" s="385"/>
      <c r="AE1833" s="385"/>
    </row>
    <row r="1834" spans="1:31">
      <c r="A1834" s="655">
        <v>14</v>
      </c>
      <c r="B1834" s="655"/>
      <c r="C1834" s="655"/>
      <c r="D1834" s="655"/>
      <c r="E1834" s="655"/>
      <c r="F1834" s="655"/>
      <c r="G1834" s="655"/>
      <c r="H1834" s="655"/>
      <c r="I1834" s="652" t="s">
        <v>1035</v>
      </c>
      <c r="J1834" s="655"/>
      <c r="K1834" s="655"/>
      <c r="L1834" s="655"/>
      <c r="M1834" s="655"/>
      <c r="N1834" s="655"/>
      <c r="O1834" s="655"/>
      <c r="P1834" s="655"/>
      <c r="Q1834" s="655"/>
      <c r="R1834" s="655"/>
      <c r="S1834" s="655"/>
      <c r="T1834" s="655"/>
      <c r="U1834" s="655"/>
      <c r="V1834" s="655"/>
      <c r="W1834" s="655"/>
      <c r="X1834" s="655"/>
      <c r="Y1834" s="730"/>
      <c r="Z1834" s="655"/>
      <c r="AA1834" s="655"/>
      <c r="AB1834" s="655"/>
      <c r="AC1834" s="655"/>
      <c r="AD1834" s="655"/>
      <c r="AE1834" s="655"/>
    </row>
    <row r="1835" spans="1:31">
      <c r="A1835" s="385"/>
      <c r="B1835" s="385"/>
      <c r="C1835" s="385"/>
      <c r="D1835" s="385"/>
      <c r="E1835" s="385"/>
      <c r="F1835" s="385"/>
      <c r="G1835" s="385"/>
      <c r="H1835" s="385"/>
      <c r="I1835" s="385"/>
      <c r="J1835" s="385"/>
      <c r="K1835" s="385"/>
      <c r="L1835" s="385"/>
      <c r="M1835" s="385"/>
      <c r="N1835" s="385"/>
      <c r="O1835" s="385"/>
      <c r="P1835" s="385"/>
      <c r="Q1835" s="385"/>
      <c r="R1835" s="385"/>
      <c r="S1835" s="385"/>
      <c r="T1835" s="385"/>
      <c r="U1835" s="385"/>
      <c r="V1835" s="385"/>
      <c r="W1835" s="385"/>
      <c r="X1835" s="385"/>
      <c r="Y1835" s="1904"/>
      <c r="Z1835" s="385"/>
      <c r="AA1835" s="385"/>
      <c r="AB1835" s="385"/>
      <c r="AC1835" s="385"/>
      <c r="AD1835" s="385"/>
      <c r="AE1835" s="385"/>
    </row>
    <row r="1836" spans="1:31">
      <c r="A1836" s="655">
        <v>15</v>
      </c>
      <c r="B1836" s="655"/>
      <c r="C1836" s="655"/>
      <c r="D1836" s="655"/>
      <c r="E1836" s="655"/>
      <c r="F1836" s="655"/>
      <c r="G1836" s="655"/>
      <c r="H1836" s="655"/>
      <c r="I1836" s="652" t="s">
        <v>1036</v>
      </c>
      <c r="J1836" s="655"/>
      <c r="K1836" s="655"/>
      <c r="L1836" s="655"/>
      <c r="M1836" s="655"/>
      <c r="N1836" s="655"/>
      <c r="O1836" s="655"/>
      <c r="P1836" s="655"/>
      <c r="Q1836" s="655"/>
      <c r="R1836" s="655"/>
      <c r="S1836" s="655"/>
      <c r="T1836" s="655"/>
      <c r="U1836" s="655"/>
      <c r="V1836" s="655"/>
      <c r="W1836" s="655"/>
      <c r="X1836" s="655"/>
      <c r="Y1836" s="730"/>
      <c r="Z1836" s="655"/>
      <c r="AA1836" s="655"/>
      <c r="AB1836" s="655"/>
      <c r="AC1836" s="655"/>
      <c r="AD1836" s="655"/>
      <c r="AE1836" s="655"/>
    </row>
    <row r="1837" spans="1:31">
      <c r="A1837" s="385"/>
      <c r="B1837" s="385"/>
      <c r="C1837" s="385"/>
      <c r="D1837" s="385"/>
      <c r="E1837" s="385"/>
      <c r="F1837" s="385"/>
      <c r="G1837" s="385"/>
      <c r="H1837" s="385"/>
      <c r="I1837" s="385"/>
      <c r="J1837" s="385"/>
      <c r="K1837" s="385"/>
      <c r="L1837" s="385"/>
      <c r="M1837" s="385"/>
      <c r="N1837" s="385"/>
      <c r="O1837" s="385"/>
      <c r="P1837" s="385"/>
      <c r="Q1837" s="385"/>
      <c r="R1837" s="385"/>
      <c r="S1837" s="385"/>
      <c r="T1837" s="385"/>
      <c r="U1837" s="385"/>
      <c r="V1837" s="385"/>
      <c r="W1837" s="385"/>
      <c r="X1837" s="385"/>
      <c r="Y1837" s="1904"/>
      <c r="Z1837" s="385"/>
      <c r="AA1837" s="385"/>
      <c r="AB1837" s="385"/>
      <c r="AC1837" s="385"/>
      <c r="AD1837" s="385"/>
      <c r="AE1837" s="385"/>
    </row>
  </sheetData>
  <mergeCells count="1535">
    <mergeCell ref="A1799:AB1799"/>
    <mergeCell ref="A1800:AB1800"/>
    <mergeCell ref="A1801:AB1801"/>
    <mergeCell ref="A1802:AB1802"/>
    <mergeCell ref="A1779:AB1779"/>
    <mergeCell ref="A1785:AB1785"/>
    <mergeCell ref="A1786:AB1786"/>
    <mergeCell ref="A1792:AB1792"/>
    <mergeCell ref="A1793:AB1793"/>
    <mergeCell ref="A1798:AB1798"/>
    <mergeCell ref="A1746:AB1746"/>
    <mergeCell ref="A1749:AB1749"/>
    <mergeCell ref="A1750:AB1750"/>
    <mergeCell ref="A1753:AB1753"/>
    <mergeCell ref="A1754:AB1754"/>
    <mergeCell ref="A1778:AB1778"/>
    <mergeCell ref="A1726:AB1726"/>
    <mergeCell ref="A1733:AB1733"/>
    <mergeCell ref="A1734:AB1734"/>
    <mergeCell ref="A1740:AB1740"/>
    <mergeCell ref="A1741:AB1741"/>
    <mergeCell ref="A1745:AB1745"/>
    <mergeCell ref="A1710:AB1710"/>
    <mergeCell ref="A1716:AB1716"/>
    <mergeCell ref="A1717:AB1717"/>
    <mergeCell ref="A1721:AB1721"/>
    <mergeCell ref="A1722:AB1722"/>
    <mergeCell ref="A1725:AB1725"/>
    <mergeCell ref="A1683:AB1683"/>
    <mergeCell ref="A1686:AB1686"/>
    <mergeCell ref="A1687:AB1687"/>
    <mergeCell ref="A1704:AB1704"/>
    <mergeCell ref="A1705:AB1705"/>
    <mergeCell ref="A1709:AB1709"/>
    <mergeCell ref="A1672:AB1672"/>
    <mergeCell ref="A1674:AB1674"/>
    <mergeCell ref="A1675:AB1675"/>
    <mergeCell ref="A1678:AB1678"/>
    <mergeCell ref="A1679:AB1679"/>
    <mergeCell ref="A1682:AB1682"/>
    <mergeCell ref="A1649:AB1649"/>
    <mergeCell ref="A1653:AB1653"/>
    <mergeCell ref="A1654:AB1654"/>
    <mergeCell ref="A1664:AB1664"/>
    <mergeCell ref="A1665:AB1665"/>
    <mergeCell ref="A1671:AB1671"/>
    <mergeCell ref="A1636:AB1636"/>
    <mergeCell ref="A1639:AB1639"/>
    <mergeCell ref="A1640:AB1640"/>
    <mergeCell ref="A1643:AB1643"/>
    <mergeCell ref="A1644:AB1644"/>
    <mergeCell ref="A1648:AB1648"/>
    <mergeCell ref="A1616:AB1616"/>
    <mergeCell ref="A1620:AB1620"/>
    <mergeCell ref="A1621:AB1621"/>
    <mergeCell ref="A1626:AB1626"/>
    <mergeCell ref="A1627:AB1627"/>
    <mergeCell ref="A1635:AB1635"/>
    <mergeCell ref="A1572:AB1572"/>
    <mergeCell ref="A1594:AB1594"/>
    <mergeCell ref="A1595:AB1595"/>
    <mergeCell ref="A1610:AB1610"/>
    <mergeCell ref="A1611:AB1611"/>
    <mergeCell ref="A1615:AB1615"/>
    <mergeCell ref="I1561:J1561"/>
    <mergeCell ref="I1567:J1567"/>
    <mergeCell ref="A1569:AB1569"/>
    <mergeCell ref="A1570:AB1570"/>
    <mergeCell ref="A1571:O1571"/>
    <mergeCell ref="Q1571:AA1571"/>
    <mergeCell ref="A1518:AB1518"/>
    <mergeCell ref="A1519:AB1519"/>
    <mergeCell ref="I1528:J1528"/>
    <mergeCell ref="I1540:J1540"/>
    <mergeCell ref="I1545:J1545"/>
    <mergeCell ref="I1548:J1548"/>
    <mergeCell ref="A1455:AE1455"/>
    <mergeCell ref="A1457:AE1457"/>
    <mergeCell ref="B1459:B1469"/>
    <mergeCell ref="B1493:B1494"/>
    <mergeCell ref="A1517:O1517"/>
    <mergeCell ref="Q1517:AA1517"/>
    <mergeCell ref="B1445:B1446"/>
    <mergeCell ref="A1450:B1450"/>
    <mergeCell ref="A1451:P1451"/>
    <mergeCell ref="A1452:AE1452"/>
    <mergeCell ref="A1453:AE1453"/>
    <mergeCell ref="A1454:AE1454"/>
    <mergeCell ref="A1350:AE1350"/>
    <mergeCell ref="B1375:B1376"/>
    <mergeCell ref="I1389:I1390"/>
    <mergeCell ref="J1389:J1390"/>
    <mergeCell ref="B1396:B1397"/>
    <mergeCell ref="B1437:B1438"/>
    <mergeCell ref="A1341:AB1341"/>
    <mergeCell ref="A1342:O1342"/>
    <mergeCell ref="Q1342:AA1342"/>
    <mergeCell ref="A1343:AE1343"/>
    <mergeCell ref="A1344:AE1344"/>
    <mergeCell ref="A1345:AE1345"/>
    <mergeCell ref="A1235:AB1235"/>
    <mergeCell ref="A1236:AB1236"/>
    <mergeCell ref="A1237:AE1237"/>
    <mergeCell ref="AE1288:AE1338"/>
    <mergeCell ref="AG1339:BG1339"/>
    <mergeCell ref="A1340:AB1340"/>
    <mergeCell ref="AG1340:AT1340"/>
    <mergeCell ref="AV1340:BF1340"/>
    <mergeCell ref="B1194:B1195"/>
    <mergeCell ref="I1194:I1196"/>
    <mergeCell ref="B1199:B1200"/>
    <mergeCell ref="I1199:I1200"/>
    <mergeCell ref="B1206:B1207"/>
    <mergeCell ref="B1215:B1217"/>
    <mergeCell ref="B1160:P1160"/>
    <mergeCell ref="B1161:P1161"/>
    <mergeCell ref="B1162:P1162"/>
    <mergeCell ref="B1163:P1163"/>
    <mergeCell ref="A1164:AE1164"/>
    <mergeCell ref="B1165:B1166"/>
    <mergeCell ref="I1165:I1166"/>
    <mergeCell ref="X1124:X1126"/>
    <mergeCell ref="Z1124:Z1126"/>
    <mergeCell ref="AB1124:AB1126"/>
    <mergeCell ref="AD1124:AD1126"/>
    <mergeCell ref="B1158:P1158"/>
    <mergeCell ref="B1159:P1159"/>
    <mergeCell ref="X1118:X1120"/>
    <mergeCell ref="Z1118:Z1120"/>
    <mergeCell ref="AB1118:AB1120"/>
    <mergeCell ref="AD1118:AD1120"/>
    <mergeCell ref="L1124:L1126"/>
    <mergeCell ref="N1124:N1126"/>
    <mergeCell ref="P1124:P1126"/>
    <mergeCell ref="R1124:R1126"/>
    <mergeCell ref="T1124:T1126"/>
    <mergeCell ref="V1124:V1126"/>
    <mergeCell ref="X1114:X1115"/>
    <mergeCell ref="Z1114:Z1115"/>
    <mergeCell ref="AB1114:AB1115"/>
    <mergeCell ref="AD1114:AD1115"/>
    <mergeCell ref="L1118:L1120"/>
    <mergeCell ref="N1118:N1120"/>
    <mergeCell ref="P1118:P1120"/>
    <mergeCell ref="R1118:R1120"/>
    <mergeCell ref="T1118:T1120"/>
    <mergeCell ref="V1118:V1120"/>
    <mergeCell ref="L1114:L1115"/>
    <mergeCell ref="N1114:N1115"/>
    <mergeCell ref="P1114:P1115"/>
    <mergeCell ref="R1114:R1115"/>
    <mergeCell ref="T1114:T1115"/>
    <mergeCell ref="V1114:V1115"/>
    <mergeCell ref="N1103:P1103"/>
    <mergeCell ref="Q1103:AB1103"/>
    <mergeCell ref="L1104:O1104"/>
    <mergeCell ref="Q1104:AA1104"/>
    <mergeCell ref="A1105:AB1105"/>
    <mergeCell ref="A1106:AB1106"/>
    <mergeCell ref="BA1089:BA1100"/>
    <mergeCell ref="BC1089:BC1100"/>
    <mergeCell ref="BE1089:BE1100"/>
    <mergeCell ref="BG1089:BG1100"/>
    <mergeCell ref="BI1089:BI1100"/>
    <mergeCell ref="N1102:P1102"/>
    <mergeCell ref="Q1102:AB1102"/>
    <mergeCell ref="BC1083:BC1084"/>
    <mergeCell ref="BE1083:BE1084"/>
    <mergeCell ref="BG1083:BG1084"/>
    <mergeCell ref="BI1083:BI1084"/>
    <mergeCell ref="BJ1083:BJ1086"/>
    <mergeCell ref="AQ1089:AQ1100"/>
    <mergeCell ref="AS1089:AS1100"/>
    <mergeCell ref="AU1089:AU1100"/>
    <mergeCell ref="AW1089:AW1100"/>
    <mergeCell ref="AY1089:AY1100"/>
    <mergeCell ref="B1063:B1065"/>
    <mergeCell ref="AF1066:BJ1066"/>
    <mergeCell ref="AF1071:BJ1071"/>
    <mergeCell ref="AF1082:BJ1082"/>
    <mergeCell ref="AQ1083:AQ1084"/>
    <mergeCell ref="AS1083:AS1084"/>
    <mergeCell ref="AU1083:AU1084"/>
    <mergeCell ref="AW1083:AW1084"/>
    <mergeCell ref="AY1083:AY1084"/>
    <mergeCell ref="BA1083:BA1084"/>
    <mergeCell ref="I1049:J1049"/>
    <mergeCell ref="AF1051:AF1052"/>
    <mergeCell ref="AG1051:AG1052"/>
    <mergeCell ref="AF1053:AF1054"/>
    <mergeCell ref="AG1053:AG1054"/>
    <mergeCell ref="I1062:J1062"/>
    <mergeCell ref="A985:O985"/>
    <mergeCell ref="Q985:AA985"/>
    <mergeCell ref="A1043:AE1043"/>
    <mergeCell ref="A1044:AE1044"/>
    <mergeCell ref="A1045:AE1045"/>
    <mergeCell ref="A1046:AE1046"/>
    <mergeCell ref="A960:O960"/>
    <mergeCell ref="Q960:AA960"/>
    <mergeCell ref="A961:AB961"/>
    <mergeCell ref="A962:AB962"/>
    <mergeCell ref="A983:Z983"/>
    <mergeCell ref="A984:AB984"/>
    <mergeCell ref="A920:A939"/>
    <mergeCell ref="B920:B939"/>
    <mergeCell ref="A940:A947"/>
    <mergeCell ref="B940:B947"/>
    <mergeCell ref="A948:A959"/>
    <mergeCell ref="B948:B959"/>
    <mergeCell ref="AE865:AE866"/>
    <mergeCell ref="D867:AE867"/>
    <mergeCell ref="A916:P916"/>
    <mergeCell ref="A917:P917"/>
    <mergeCell ref="AA917:AE917"/>
    <mergeCell ref="A918:AE918"/>
    <mergeCell ref="T865:T866"/>
    <mergeCell ref="V865:V866"/>
    <mergeCell ref="X865:X866"/>
    <mergeCell ref="Z865:Z866"/>
    <mergeCell ref="AB865:AB866"/>
    <mergeCell ref="AD865:AD866"/>
    <mergeCell ref="H865:H866"/>
    <mergeCell ref="I865:I866"/>
    <mergeCell ref="L865:L866"/>
    <mergeCell ref="N865:N866"/>
    <mergeCell ref="P865:P866"/>
    <mergeCell ref="R865:R866"/>
    <mergeCell ref="AB858:AB863"/>
    <mergeCell ref="AD858:AD863"/>
    <mergeCell ref="AE858:AE863"/>
    <mergeCell ref="A865:A866"/>
    <mergeCell ref="B865:B866"/>
    <mergeCell ref="C865:C866"/>
    <mergeCell ref="D865:D866"/>
    <mergeCell ref="E865:E866"/>
    <mergeCell ref="F865:F866"/>
    <mergeCell ref="G865:G866"/>
    <mergeCell ref="P858:P863"/>
    <mergeCell ref="R858:R863"/>
    <mergeCell ref="T858:T863"/>
    <mergeCell ref="V858:V863"/>
    <mergeCell ref="X858:X863"/>
    <mergeCell ref="Z858:Z863"/>
    <mergeCell ref="F858:F863"/>
    <mergeCell ref="G858:G863"/>
    <mergeCell ref="H858:H863"/>
    <mergeCell ref="I858:I863"/>
    <mergeCell ref="L858:L863"/>
    <mergeCell ref="N858:N863"/>
    <mergeCell ref="X853:X856"/>
    <mergeCell ref="Z853:Z856"/>
    <mergeCell ref="AB853:AB856"/>
    <mergeCell ref="AD853:AD856"/>
    <mergeCell ref="AE853:AE856"/>
    <mergeCell ref="A858:A863"/>
    <mergeCell ref="B858:B863"/>
    <mergeCell ref="C858:C863"/>
    <mergeCell ref="D858:D863"/>
    <mergeCell ref="E858:E863"/>
    <mergeCell ref="L853:L856"/>
    <mergeCell ref="N853:N856"/>
    <mergeCell ref="P853:P856"/>
    <mergeCell ref="R853:R856"/>
    <mergeCell ref="T853:T856"/>
    <mergeCell ref="V853:V856"/>
    <mergeCell ref="AE848:AE851"/>
    <mergeCell ref="A853:A856"/>
    <mergeCell ref="B853:B856"/>
    <mergeCell ref="C853:C856"/>
    <mergeCell ref="D853:D856"/>
    <mergeCell ref="E853:E856"/>
    <mergeCell ref="F853:F856"/>
    <mergeCell ref="G853:G856"/>
    <mergeCell ref="H853:H856"/>
    <mergeCell ref="I853:I856"/>
    <mergeCell ref="T848:T851"/>
    <mergeCell ref="V848:V851"/>
    <mergeCell ref="X848:X851"/>
    <mergeCell ref="Z848:Z851"/>
    <mergeCell ref="AB848:AB851"/>
    <mergeCell ref="AD848:AD851"/>
    <mergeCell ref="H848:H851"/>
    <mergeCell ref="I848:I851"/>
    <mergeCell ref="L848:L851"/>
    <mergeCell ref="N848:N851"/>
    <mergeCell ref="P848:P851"/>
    <mergeCell ref="R848:R851"/>
    <mergeCell ref="AB846:AB847"/>
    <mergeCell ref="AD846:AD847"/>
    <mergeCell ref="AE846:AE847"/>
    <mergeCell ref="A848:A851"/>
    <mergeCell ref="B848:B851"/>
    <mergeCell ref="C848:C851"/>
    <mergeCell ref="D848:D851"/>
    <mergeCell ref="E848:E851"/>
    <mergeCell ref="F848:F851"/>
    <mergeCell ref="G848:G851"/>
    <mergeCell ref="P846:P847"/>
    <mergeCell ref="R846:R847"/>
    <mergeCell ref="T846:T847"/>
    <mergeCell ref="V846:V847"/>
    <mergeCell ref="X846:X847"/>
    <mergeCell ref="Z846:Z847"/>
    <mergeCell ref="F846:F847"/>
    <mergeCell ref="G846:G847"/>
    <mergeCell ref="H846:H847"/>
    <mergeCell ref="I846:I847"/>
    <mergeCell ref="L846:L847"/>
    <mergeCell ref="N846:N847"/>
    <mergeCell ref="X843:X845"/>
    <mergeCell ref="Z843:Z845"/>
    <mergeCell ref="AB843:AB845"/>
    <mergeCell ref="AD843:AD845"/>
    <mergeCell ref="AE843:AE845"/>
    <mergeCell ref="A846:A847"/>
    <mergeCell ref="B846:B847"/>
    <mergeCell ref="C846:C847"/>
    <mergeCell ref="D846:D847"/>
    <mergeCell ref="E846:E847"/>
    <mergeCell ref="L843:L845"/>
    <mergeCell ref="N843:N845"/>
    <mergeCell ref="P843:P845"/>
    <mergeCell ref="R843:R845"/>
    <mergeCell ref="T843:T845"/>
    <mergeCell ref="V843:V845"/>
    <mergeCell ref="A840:AE840"/>
    <mergeCell ref="A843:A845"/>
    <mergeCell ref="B843:B845"/>
    <mergeCell ref="C843:C845"/>
    <mergeCell ref="D843:D845"/>
    <mergeCell ref="E843:E845"/>
    <mergeCell ref="F843:F845"/>
    <mergeCell ref="G843:G845"/>
    <mergeCell ref="H843:H845"/>
    <mergeCell ref="I843:I845"/>
    <mergeCell ref="A838:A839"/>
    <mergeCell ref="B838:B839"/>
    <mergeCell ref="C838:C839"/>
    <mergeCell ref="D838:D839"/>
    <mergeCell ref="E838:E839"/>
    <mergeCell ref="F838:F839"/>
    <mergeCell ref="G838:G839"/>
    <mergeCell ref="H838:H839"/>
    <mergeCell ref="R831:R835"/>
    <mergeCell ref="T831:T835"/>
    <mergeCell ref="V831:V835"/>
    <mergeCell ref="X831:X835"/>
    <mergeCell ref="Z831:Z835"/>
    <mergeCell ref="AB831:AB835"/>
    <mergeCell ref="G831:G835"/>
    <mergeCell ref="H831:H835"/>
    <mergeCell ref="I831:I835"/>
    <mergeCell ref="L831:L835"/>
    <mergeCell ref="F813:F815"/>
    <mergeCell ref="G813:G815"/>
    <mergeCell ref="H813:H815"/>
    <mergeCell ref="I813:I815"/>
    <mergeCell ref="V838:V839"/>
    <mergeCell ref="X838:X839"/>
    <mergeCell ref="Z838:Z839"/>
    <mergeCell ref="AB838:AB839"/>
    <mergeCell ref="AD838:AD839"/>
    <mergeCell ref="AE838:AE839"/>
    <mergeCell ref="I838:I839"/>
    <mergeCell ref="L838:L839"/>
    <mergeCell ref="N838:N839"/>
    <mergeCell ref="P838:P839"/>
    <mergeCell ref="R838:R839"/>
    <mergeCell ref="T838:T839"/>
    <mergeCell ref="AD831:AD835"/>
    <mergeCell ref="AE831:AE835"/>
    <mergeCell ref="V809:V810"/>
    <mergeCell ref="W809:W810"/>
    <mergeCell ref="X809:X810"/>
    <mergeCell ref="M809:M810"/>
    <mergeCell ref="N809:N810"/>
    <mergeCell ref="O809:O810"/>
    <mergeCell ref="P809:P810"/>
    <mergeCell ref="Q809:Q810"/>
    <mergeCell ref="R809:R810"/>
    <mergeCell ref="N831:N835"/>
    <mergeCell ref="P831:P835"/>
    <mergeCell ref="X813:X815"/>
    <mergeCell ref="Z813:Z815"/>
    <mergeCell ref="AB813:AB815"/>
    <mergeCell ref="AD813:AD815"/>
    <mergeCell ref="A831:A835"/>
    <mergeCell ref="B831:B835"/>
    <mergeCell ref="C831:C835"/>
    <mergeCell ref="D831:D835"/>
    <mergeCell ref="E831:E835"/>
    <mergeCell ref="F831:F835"/>
    <mergeCell ref="L813:L815"/>
    <mergeCell ref="N813:N815"/>
    <mergeCell ref="P813:P815"/>
    <mergeCell ref="R813:R815"/>
    <mergeCell ref="T813:T815"/>
    <mergeCell ref="V813:V815"/>
    <mergeCell ref="A813:A815"/>
    <mergeCell ref="B813:B815"/>
    <mergeCell ref="C813:C815"/>
    <mergeCell ref="D813:D815"/>
    <mergeCell ref="E813:E815"/>
    <mergeCell ref="AD807:AD808"/>
    <mergeCell ref="AE807:AE808"/>
    <mergeCell ref="A809:A810"/>
    <mergeCell ref="B809:B810"/>
    <mergeCell ref="C809:C810"/>
    <mergeCell ref="D809:D810"/>
    <mergeCell ref="E809:E810"/>
    <mergeCell ref="U807:U808"/>
    <mergeCell ref="V807:V808"/>
    <mergeCell ref="W807:W808"/>
    <mergeCell ref="X807:X808"/>
    <mergeCell ref="Y807:Y808"/>
    <mergeCell ref="Z807:Z808"/>
    <mergeCell ref="O807:O808"/>
    <mergeCell ref="P807:P808"/>
    <mergeCell ref="Q807:Q808"/>
    <mergeCell ref="R807:R808"/>
    <mergeCell ref="S807:S808"/>
    <mergeCell ref="T807:T808"/>
    <mergeCell ref="H807:H808"/>
    <mergeCell ref="I807:I808"/>
    <mergeCell ref="K807:K808"/>
    <mergeCell ref="L807:L808"/>
    <mergeCell ref="Y809:Y810"/>
    <mergeCell ref="Z809:Z810"/>
    <mergeCell ref="AA809:AA810"/>
    <mergeCell ref="AB809:AB810"/>
    <mergeCell ref="AC809:AC810"/>
    <mergeCell ref="AD809:AD810"/>
    <mergeCell ref="S809:S810"/>
    <mergeCell ref="T809:T810"/>
    <mergeCell ref="U809:U810"/>
    <mergeCell ref="M807:M808"/>
    <mergeCell ref="N807:N808"/>
    <mergeCell ref="AE809:AE810"/>
    <mergeCell ref="AE804:AE805"/>
    <mergeCell ref="A807:A808"/>
    <mergeCell ref="B807:B808"/>
    <mergeCell ref="C807:C808"/>
    <mergeCell ref="D807:D808"/>
    <mergeCell ref="E807:E808"/>
    <mergeCell ref="F807:F808"/>
    <mergeCell ref="G807:G808"/>
    <mergeCell ref="U804:U805"/>
    <mergeCell ref="V804:V805"/>
    <mergeCell ref="W804:W805"/>
    <mergeCell ref="X804:X805"/>
    <mergeCell ref="Z804:Z805"/>
    <mergeCell ref="AB804:AB805"/>
    <mergeCell ref="L804:L805"/>
    <mergeCell ref="N804:N805"/>
    <mergeCell ref="P804:P805"/>
    <mergeCell ref="R804:R805"/>
    <mergeCell ref="S804:S805"/>
    <mergeCell ref="T804:T805"/>
    <mergeCell ref="F809:F810"/>
    <mergeCell ref="G809:G810"/>
    <mergeCell ref="H809:H810"/>
    <mergeCell ref="I809:I810"/>
    <mergeCell ref="K809:K810"/>
    <mergeCell ref="L809:L810"/>
    <mergeCell ref="AA807:AA808"/>
    <mergeCell ref="AB807:AB808"/>
    <mergeCell ref="AC807:AC808"/>
    <mergeCell ref="AD798:AD800"/>
    <mergeCell ref="A804:A805"/>
    <mergeCell ref="B804:B805"/>
    <mergeCell ref="C804:C805"/>
    <mergeCell ref="D804:D805"/>
    <mergeCell ref="E804:E805"/>
    <mergeCell ref="F804:F805"/>
    <mergeCell ref="G804:G805"/>
    <mergeCell ref="H804:H805"/>
    <mergeCell ref="I804:I805"/>
    <mergeCell ref="R798:R800"/>
    <mergeCell ref="T798:T800"/>
    <mergeCell ref="V798:V800"/>
    <mergeCell ref="X798:X800"/>
    <mergeCell ref="Z798:Z800"/>
    <mergeCell ref="AB798:AB800"/>
    <mergeCell ref="G798:G800"/>
    <mergeCell ref="H798:H800"/>
    <mergeCell ref="I798:I800"/>
    <mergeCell ref="L798:L800"/>
    <mergeCell ref="N798:N800"/>
    <mergeCell ref="P798:P800"/>
    <mergeCell ref="A798:A800"/>
    <mergeCell ref="B798:B800"/>
    <mergeCell ref="C798:C800"/>
    <mergeCell ref="D798:D800"/>
    <mergeCell ref="E798:E800"/>
    <mergeCell ref="F798:F800"/>
    <mergeCell ref="AC804:AC805"/>
    <mergeCell ref="AD804:AD805"/>
    <mergeCell ref="V794:V795"/>
    <mergeCell ref="X794:X795"/>
    <mergeCell ref="Z794:Z795"/>
    <mergeCell ref="AB794:AB795"/>
    <mergeCell ref="AD794:AD795"/>
    <mergeCell ref="AE794:AE795"/>
    <mergeCell ref="I794:I795"/>
    <mergeCell ref="L794:L795"/>
    <mergeCell ref="N794:N795"/>
    <mergeCell ref="P794:P795"/>
    <mergeCell ref="R794:R795"/>
    <mergeCell ref="T794:T795"/>
    <mergeCell ref="A784:AB784"/>
    <mergeCell ref="A785:AB785"/>
    <mergeCell ref="A794:A795"/>
    <mergeCell ref="B794:B795"/>
    <mergeCell ref="C794:C795"/>
    <mergeCell ref="D794:D795"/>
    <mergeCell ref="E794:E795"/>
    <mergeCell ref="F794:F795"/>
    <mergeCell ref="G794:G795"/>
    <mergeCell ref="H794:H795"/>
    <mergeCell ref="B761:B762"/>
    <mergeCell ref="I761:I762"/>
    <mergeCell ref="A781:AB781"/>
    <mergeCell ref="A782:AB782"/>
    <mergeCell ref="A783:O783"/>
    <mergeCell ref="Q783:AA783"/>
    <mergeCell ref="B743:B744"/>
    <mergeCell ref="I743:I744"/>
    <mergeCell ref="B748:B749"/>
    <mergeCell ref="I748:I749"/>
    <mergeCell ref="I751:I752"/>
    <mergeCell ref="B757:B758"/>
    <mergeCell ref="I757:I758"/>
    <mergeCell ref="A611:O611"/>
    <mergeCell ref="Q611:AA611"/>
    <mergeCell ref="H629:H633"/>
    <mergeCell ref="H646:H648"/>
    <mergeCell ref="H711:H712"/>
    <mergeCell ref="AA738:AE738"/>
    <mergeCell ref="B596:B598"/>
    <mergeCell ref="I596:I598"/>
    <mergeCell ref="J596:J597"/>
    <mergeCell ref="AE596:AE597"/>
    <mergeCell ref="A609:AB609"/>
    <mergeCell ref="A610:AB610"/>
    <mergeCell ref="AD561:AD562"/>
    <mergeCell ref="AE561:AE562"/>
    <mergeCell ref="A583:A584"/>
    <mergeCell ref="B583:B584"/>
    <mergeCell ref="I583:I584"/>
    <mergeCell ref="AE583:AE584"/>
    <mergeCell ref="X561:X562"/>
    <mergeCell ref="Y561:Y562"/>
    <mergeCell ref="Z561:Z562"/>
    <mergeCell ref="AA561:AA562"/>
    <mergeCell ref="AB561:AB562"/>
    <mergeCell ref="AC561:AC562"/>
    <mergeCell ref="R561:R562"/>
    <mergeCell ref="S561:S562"/>
    <mergeCell ref="T561:T562"/>
    <mergeCell ref="U561:U562"/>
    <mergeCell ref="V561:V562"/>
    <mergeCell ref="W561:W562"/>
    <mergeCell ref="AD559:AD560"/>
    <mergeCell ref="AE559:AE560"/>
    <mergeCell ref="I561:J561"/>
    <mergeCell ref="K561:K562"/>
    <mergeCell ref="L561:L562"/>
    <mergeCell ref="M561:M562"/>
    <mergeCell ref="N561:N562"/>
    <mergeCell ref="O561:O562"/>
    <mergeCell ref="P561:P562"/>
    <mergeCell ref="Q561:Q562"/>
    <mergeCell ref="X559:X560"/>
    <mergeCell ref="Y559:Y560"/>
    <mergeCell ref="Z559:Z560"/>
    <mergeCell ref="AA559:AA560"/>
    <mergeCell ref="AB559:AB560"/>
    <mergeCell ref="AC559:AC560"/>
    <mergeCell ref="R559:R560"/>
    <mergeCell ref="S559:S560"/>
    <mergeCell ref="T559:T560"/>
    <mergeCell ref="U559:U560"/>
    <mergeCell ref="V559:V560"/>
    <mergeCell ref="W559:W560"/>
    <mergeCell ref="AD557:AD558"/>
    <mergeCell ref="AE557:AE558"/>
    <mergeCell ref="I559:I560"/>
    <mergeCell ref="K559:K560"/>
    <mergeCell ref="L559:L560"/>
    <mergeCell ref="M559:M560"/>
    <mergeCell ref="N559:N560"/>
    <mergeCell ref="O559:O560"/>
    <mergeCell ref="P559:P560"/>
    <mergeCell ref="Q559:Q560"/>
    <mergeCell ref="R557:R558"/>
    <mergeCell ref="Y557:Y558"/>
    <mergeCell ref="Z557:Z558"/>
    <mergeCell ref="AA557:AA558"/>
    <mergeCell ref="AB557:AB558"/>
    <mergeCell ref="AC557:AC558"/>
    <mergeCell ref="AD555:AD556"/>
    <mergeCell ref="AE555:AE556"/>
    <mergeCell ref="I557:I558"/>
    <mergeCell ref="K557:K558"/>
    <mergeCell ref="L557:L558"/>
    <mergeCell ref="M557:M558"/>
    <mergeCell ref="N557:N558"/>
    <mergeCell ref="O557:O558"/>
    <mergeCell ref="P557:P558"/>
    <mergeCell ref="Q557:Q558"/>
    <mergeCell ref="R555:R556"/>
    <mergeCell ref="Y555:Y556"/>
    <mergeCell ref="Z555:Z556"/>
    <mergeCell ref="AA555:AA556"/>
    <mergeCell ref="AB555:AB556"/>
    <mergeCell ref="AC555:AC556"/>
    <mergeCell ref="AD553:AD554"/>
    <mergeCell ref="AE553:AE554"/>
    <mergeCell ref="I555:I556"/>
    <mergeCell ref="K555:K556"/>
    <mergeCell ref="L555:L556"/>
    <mergeCell ref="M555:M556"/>
    <mergeCell ref="N555:N556"/>
    <mergeCell ref="O555:O556"/>
    <mergeCell ref="P555:P556"/>
    <mergeCell ref="Q555:Q556"/>
    <mergeCell ref="R553:R554"/>
    <mergeCell ref="Y553:Y554"/>
    <mergeCell ref="Z553:Z554"/>
    <mergeCell ref="AA553:AA554"/>
    <mergeCell ref="AB553:AB554"/>
    <mergeCell ref="AC553:AC554"/>
    <mergeCell ref="AD551:AD552"/>
    <mergeCell ref="AE551:AE552"/>
    <mergeCell ref="I553:I554"/>
    <mergeCell ref="K553:K554"/>
    <mergeCell ref="L553:L554"/>
    <mergeCell ref="M553:M554"/>
    <mergeCell ref="N553:N554"/>
    <mergeCell ref="O553:O554"/>
    <mergeCell ref="P553:P554"/>
    <mergeCell ref="Q553:Q554"/>
    <mergeCell ref="R551:R552"/>
    <mergeCell ref="Y551:Y552"/>
    <mergeCell ref="Z551:Z552"/>
    <mergeCell ref="AA551:AA552"/>
    <mergeCell ref="AB551:AB552"/>
    <mergeCell ref="AC551:AC552"/>
    <mergeCell ref="I551:I552"/>
    <mergeCell ref="K551:K552"/>
    <mergeCell ref="L551:L552"/>
    <mergeCell ref="M551:M552"/>
    <mergeCell ref="N551:N552"/>
    <mergeCell ref="O551:O552"/>
    <mergeCell ref="P551:P552"/>
    <mergeCell ref="Q551:Q552"/>
    <mergeCell ref="X549:X550"/>
    <mergeCell ref="Y549:Y550"/>
    <mergeCell ref="Z549:Z550"/>
    <mergeCell ref="AA549:AA550"/>
    <mergeCell ref="AB549:AB550"/>
    <mergeCell ref="AC549:AC550"/>
    <mergeCell ref="R549:R550"/>
    <mergeCell ref="S549:S550"/>
    <mergeCell ref="T549:T550"/>
    <mergeCell ref="U549:U550"/>
    <mergeCell ref="V549:V550"/>
    <mergeCell ref="W549:W550"/>
    <mergeCell ref="AD547:AD548"/>
    <mergeCell ref="AE547:AE548"/>
    <mergeCell ref="I549:I550"/>
    <mergeCell ref="K549:K550"/>
    <mergeCell ref="L549:L550"/>
    <mergeCell ref="M549:M550"/>
    <mergeCell ref="N549:N550"/>
    <mergeCell ref="O549:O550"/>
    <mergeCell ref="P549:P550"/>
    <mergeCell ref="Q549:Q550"/>
    <mergeCell ref="X547:X548"/>
    <mergeCell ref="Y547:Y548"/>
    <mergeCell ref="Z547:Z548"/>
    <mergeCell ref="AA547:AA548"/>
    <mergeCell ref="AB547:AB548"/>
    <mergeCell ref="AC547:AC548"/>
    <mergeCell ref="R547:R548"/>
    <mergeCell ref="S547:S548"/>
    <mergeCell ref="T547:T548"/>
    <mergeCell ref="U547:U548"/>
    <mergeCell ref="V547:V548"/>
    <mergeCell ref="W547:W548"/>
    <mergeCell ref="AD549:AD550"/>
    <mergeCell ref="AE549:AE550"/>
    <mergeCell ref="I547:I548"/>
    <mergeCell ref="K547:K548"/>
    <mergeCell ref="L547:L548"/>
    <mergeCell ref="M547:M548"/>
    <mergeCell ref="N547:N548"/>
    <mergeCell ref="O547:O548"/>
    <mergeCell ref="P547:P548"/>
    <mergeCell ref="Q547:Q548"/>
    <mergeCell ref="AE543:AE544"/>
    <mergeCell ref="B545:B546"/>
    <mergeCell ref="I545:I546"/>
    <mergeCell ref="K545:K546"/>
    <mergeCell ref="L545:L546"/>
    <mergeCell ref="M545:M546"/>
    <mergeCell ref="N545:N546"/>
    <mergeCell ref="O545:O546"/>
    <mergeCell ref="P545:P546"/>
    <mergeCell ref="Q545:Q546"/>
    <mergeCell ref="Y543:Y544"/>
    <mergeCell ref="Z543:Z544"/>
    <mergeCell ref="AA543:AA544"/>
    <mergeCell ref="AB543:AB544"/>
    <mergeCell ref="AC543:AC544"/>
    <mergeCell ref="AD543:AD544"/>
    <mergeCell ref="S543:S544"/>
    <mergeCell ref="T543:T544"/>
    <mergeCell ref="U543:U544"/>
    <mergeCell ref="V543:V544"/>
    <mergeCell ref="W543:W544"/>
    <mergeCell ref="X543:X544"/>
    <mergeCell ref="AD545:AD546"/>
    <mergeCell ref="AE545:AE546"/>
    <mergeCell ref="I543:I544"/>
    <mergeCell ref="K543:K544"/>
    <mergeCell ref="L543:L544"/>
    <mergeCell ref="M543:M544"/>
    <mergeCell ref="N543:N544"/>
    <mergeCell ref="O543:O544"/>
    <mergeCell ref="P543:P544"/>
    <mergeCell ref="Q543:Q544"/>
    <mergeCell ref="R543:R544"/>
    <mergeCell ref="Y541:Y542"/>
    <mergeCell ref="Z541:Z542"/>
    <mergeCell ref="AA541:AA542"/>
    <mergeCell ref="AB541:AB542"/>
    <mergeCell ref="AC541:AC542"/>
    <mergeCell ref="AD541:AD542"/>
    <mergeCell ref="X545:X546"/>
    <mergeCell ref="Y545:Y546"/>
    <mergeCell ref="Z545:Z546"/>
    <mergeCell ref="AA545:AA546"/>
    <mergeCell ref="AB545:AB546"/>
    <mergeCell ref="AC545:AC546"/>
    <mergeCell ref="R545:R546"/>
    <mergeCell ref="S545:S546"/>
    <mergeCell ref="T545:T546"/>
    <mergeCell ref="U545:U546"/>
    <mergeCell ref="V545:V546"/>
    <mergeCell ref="W545:W546"/>
    <mergeCell ref="AD538:AD539"/>
    <mergeCell ref="AE538:AE539"/>
    <mergeCell ref="K541:K542"/>
    <mergeCell ref="L541:L542"/>
    <mergeCell ref="M541:M542"/>
    <mergeCell ref="N541:N542"/>
    <mergeCell ref="O541:O542"/>
    <mergeCell ref="P541:P542"/>
    <mergeCell ref="Q541:Q542"/>
    <mergeCell ref="R541:R542"/>
    <mergeCell ref="R538:R539"/>
    <mergeCell ref="Y538:Y539"/>
    <mergeCell ref="Z538:Z539"/>
    <mergeCell ref="AA538:AA539"/>
    <mergeCell ref="AB538:AB539"/>
    <mergeCell ref="AC538:AC539"/>
    <mergeCell ref="AD536:AD537"/>
    <mergeCell ref="AE536:AE537"/>
    <mergeCell ref="AE541:AE542"/>
    <mergeCell ref="I538:I539"/>
    <mergeCell ref="K538:K539"/>
    <mergeCell ref="L538:L539"/>
    <mergeCell ref="M538:M539"/>
    <mergeCell ref="N538:N539"/>
    <mergeCell ref="O538:O539"/>
    <mergeCell ref="P538:P539"/>
    <mergeCell ref="Q538:Q539"/>
    <mergeCell ref="R536:R537"/>
    <mergeCell ref="Y536:Y537"/>
    <mergeCell ref="Z536:Z537"/>
    <mergeCell ref="AA536:AA537"/>
    <mergeCell ref="AB536:AB537"/>
    <mergeCell ref="AC536:AC537"/>
    <mergeCell ref="AD534:AD535"/>
    <mergeCell ref="AE534:AE535"/>
    <mergeCell ref="I536:I537"/>
    <mergeCell ref="K536:K537"/>
    <mergeCell ref="L536:L537"/>
    <mergeCell ref="M536:M537"/>
    <mergeCell ref="N536:N537"/>
    <mergeCell ref="O536:O537"/>
    <mergeCell ref="P536:P537"/>
    <mergeCell ref="Q536:Q537"/>
    <mergeCell ref="X534:X535"/>
    <mergeCell ref="Y534:Y535"/>
    <mergeCell ref="Z534:Z535"/>
    <mergeCell ref="AA534:AA535"/>
    <mergeCell ref="AB534:AB535"/>
    <mergeCell ref="AC534:AC535"/>
    <mergeCell ref="R534:R535"/>
    <mergeCell ref="S534:S535"/>
    <mergeCell ref="T534:T535"/>
    <mergeCell ref="U534:U535"/>
    <mergeCell ref="V534:V535"/>
    <mergeCell ref="W534:W535"/>
    <mergeCell ref="AC530:AC531"/>
    <mergeCell ref="AE530:AE531"/>
    <mergeCell ref="I534:I535"/>
    <mergeCell ref="K534:K535"/>
    <mergeCell ref="L534:L535"/>
    <mergeCell ref="M534:M535"/>
    <mergeCell ref="N534:N535"/>
    <mergeCell ref="O534:O535"/>
    <mergeCell ref="P534:P535"/>
    <mergeCell ref="Q534:Q535"/>
    <mergeCell ref="Q530:Q531"/>
    <mergeCell ref="R530:R531"/>
    <mergeCell ref="Y530:Y531"/>
    <mergeCell ref="Z530:Z531"/>
    <mergeCell ref="AA530:AA531"/>
    <mergeCell ref="AB530:AB531"/>
    <mergeCell ref="X528:X529"/>
    <mergeCell ref="Z528:Z529"/>
    <mergeCell ref="AE528:AE529"/>
    <mergeCell ref="I530:I531"/>
    <mergeCell ref="K530:K531"/>
    <mergeCell ref="L530:L531"/>
    <mergeCell ref="M530:M531"/>
    <mergeCell ref="N530:N531"/>
    <mergeCell ref="O530:O531"/>
    <mergeCell ref="P530:P531"/>
    <mergeCell ref="AB524:AB525"/>
    <mergeCell ref="AC524:AC525"/>
    <mergeCell ref="AD524:AD525"/>
    <mergeCell ref="AE524:AE525"/>
    <mergeCell ref="Z526:Z527"/>
    <mergeCell ref="S528:S529"/>
    <mergeCell ref="T528:T529"/>
    <mergeCell ref="U528:U529"/>
    <mergeCell ref="V528:V529"/>
    <mergeCell ref="W528:W529"/>
    <mergeCell ref="V524:V525"/>
    <mergeCell ref="W524:W525"/>
    <mergeCell ref="X524:X525"/>
    <mergeCell ref="Y524:Y525"/>
    <mergeCell ref="Z524:Z525"/>
    <mergeCell ref="AA524:AA525"/>
    <mergeCell ref="P524:P525"/>
    <mergeCell ref="Q524:Q525"/>
    <mergeCell ref="R524:R525"/>
    <mergeCell ref="S524:S525"/>
    <mergeCell ref="T524:T525"/>
    <mergeCell ref="U524:U525"/>
    <mergeCell ref="I524:I525"/>
    <mergeCell ref="K524:K525"/>
    <mergeCell ref="L524:L525"/>
    <mergeCell ref="M524:M525"/>
    <mergeCell ref="N524:N525"/>
    <mergeCell ref="O524:O525"/>
    <mergeCell ref="AB520:AB521"/>
    <mergeCell ref="AC520:AC521"/>
    <mergeCell ref="AD520:AD521"/>
    <mergeCell ref="AE520:AE521"/>
    <mergeCell ref="X522:X523"/>
    <mergeCell ref="AB522:AB523"/>
    <mergeCell ref="AD522:AD523"/>
    <mergeCell ref="P520:P521"/>
    <mergeCell ref="Q520:Q521"/>
    <mergeCell ref="R520:R521"/>
    <mergeCell ref="Y520:Y521"/>
    <mergeCell ref="Z520:Z521"/>
    <mergeCell ref="AA520:AA521"/>
    <mergeCell ref="AB517:AB518"/>
    <mergeCell ref="AC517:AC518"/>
    <mergeCell ref="AD517:AD518"/>
    <mergeCell ref="AE517:AE518"/>
    <mergeCell ref="I520:I521"/>
    <mergeCell ref="K520:K521"/>
    <mergeCell ref="L520:L521"/>
    <mergeCell ref="M520:M521"/>
    <mergeCell ref="N520:N521"/>
    <mergeCell ref="O520:O521"/>
    <mergeCell ref="P517:P518"/>
    <mergeCell ref="Q517:Q518"/>
    <mergeCell ref="R517:R518"/>
    <mergeCell ref="Y517:Y518"/>
    <mergeCell ref="Z517:Z518"/>
    <mergeCell ref="AA517:AA518"/>
    <mergeCell ref="AB515:AB516"/>
    <mergeCell ref="AC515:AC516"/>
    <mergeCell ref="AD515:AD516"/>
    <mergeCell ref="AE515:AE516"/>
    <mergeCell ref="I517:I518"/>
    <mergeCell ref="K517:K518"/>
    <mergeCell ref="L517:L518"/>
    <mergeCell ref="M517:M518"/>
    <mergeCell ref="N517:N518"/>
    <mergeCell ref="O517:O518"/>
    <mergeCell ref="P515:P516"/>
    <mergeCell ref="Q515:Q516"/>
    <mergeCell ref="R515:R516"/>
    <mergeCell ref="Y515:Y516"/>
    <mergeCell ref="Z515:Z516"/>
    <mergeCell ref="AA515:AA516"/>
    <mergeCell ref="I515:I516"/>
    <mergeCell ref="K515:K516"/>
    <mergeCell ref="L515:L516"/>
    <mergeCell ref="M515:M516"/>
    <mergeCell ref="N515:N516"/>
    <mergeCell ref="O515:O516"/>
    <mergeCell ref="V513:V514"/>
    <mergeCell ref="W513:W514"/>
    <mergeCell ref="X513:X514"/>
    <mergeCell ref="Y513:Y514"/>
    <mergeCell ref="Z513:Z514"/>
    <mergeCell ref="AA513:AA514"/>
    <mergeCell ref="P513:P514"/>
    <mergeCell ref="Q513:Q514"/>
    <mergeCell ref="R513:R514"/>
    <mergeCell ref="S513:S514"/>
    <mergeCell ref="T513:T514"/>
    <mergeCell ref="U513:U514"/>
    <mergeCell ref="I513:I514"/>
    <mergeCell ref="K513:K514"/>
    <mergeCell ref="L513:L514"/>
    <mergeCell ref="M513:M514"/>
    <mergeCell ref="N513:N514"/>
    <mergeCell ref="O513:O514"/>
    <mergeCell ref="X511:X512"/>
    <mergeCell ref="AC511:AC512"/>
    <mergeCell ref="AD511:AD512"/>
    <mergeCell ref="AE511:AE512"/>
    <mergeCell ref="U508:U509"/>
    <mergeCell ref="V508:V509"/>
    <mergeCell ref="W508:W509"/>
    <mergeCell ref="X508:X509"/>
    <mergeCell ref="Y508:Y509"/>
    <mergeCell ref="Z508:Z509"/>
    <mergeCell ref="O508:O509"/>
    <mergeCell ref="P508:P509"/>
    <mergeCell ref="Q508:Q509"/>
    <mergeCell ref="R508:R509"/>
    <mergeCell ref="S508:S509"/>
    <mergeCell ref="T508:T509"/>
    <mergeCell ref="AB513:AB514"/>
    <mergeCell ref="AC513:AC514"/>
    <mergeCell ref="AD513:AD514"/>
    <mergeCell ref="AE513:AE514"/>
    <mergeCell ref="AA504:AA505"/>
    <mergeCell ref="AB504:AB505"/>
    <mergeCell ref="AC504:AC505"/>
    <mergeCell ref="AD504:AD505"/>
    <mergeCell ref="AE504:AE505"/>
    <mergeCell ref="I508:I510"/>
    <mergeCell ref="K508:K509"/>
    <mergeCell ref="L508:L509"/>
    <mergeCell ref="M508:M509"/>
    <mergeCell ref="N508:N509"/>
    <mergeCell ref="P504:P505"/>
    <mergeCell ref="Q504:Q505"/>
    <mergeCell ref="R504:R505"/>
    <mergeCell ref="S504:S505"/>
    <mergeCell ref="Y504:Y505"/>
    <mergeCell ref="Z504:Z505"/>
    <mergeCell ref="I504:I505"/>
    <mergeCell ref="K504:K505"/>
    <mergeCell ref="L504:L505"/>
    <mergeCell ref="M504:M505"/>
    <mergeCell ref="N504:N505"/>
    <mergeCell ref="O504:O505"/>
    <mergeCell ref="AA508:AA509"/>
    <mergeCell ref="AB508:AB509"/>
    <mergeCell ref="AC508:AC509"/>
    <mergeCell ref="AD508:AD509"/>
    <mergeCell ref="AE508:AE509"/>
    <mergeCell ref="AB502:AB503"/>
    <mergeCell ref="AC502:AC503"/>
    <mergeCell ref="AD502:AD503"/>
    <mergeCell ref="AE502:AE503"/>
    <mergeCell ref="O502:O503"/>
    <mergeCell ref="P502:P503"/>
    <mergeCell ref="Q502:Q503"/>
    <mergeCell ref="R502:R503"/>
    <mergeCell ref="S502:S503"/>
    <mergeCell ref="Y502:Y503"/>
    <mergeCell ref="AA500:AA501"/>
    <mergeCell ref="AB500:AB501"/>
    <mergeCell ref="AC500:AC501"/>
    <mergeCell ref="AD500:AD501"/>
    <mergeCell ref="AE500:AE501"/>
    <mergeCell ref="Y500:Y501"/>
    <mergeCell ref="Z500:Z501"/>
    <mergeCell ref="O500:O501"/>
    <mergeCell ref="R498:R499"/>
    <mergeCell ref="S498:S499"/>
    <mergeCell ref="T498:T499"/>
    <mergeCell ref="Y498:Y499"/>
    <mergeCell ref="Z498:Z499"/>
    <mergeCell ref="AA498:AA499"/>
    <mergeCell ref="R496:R497"/>
    <mergeCell ref="S496:S497"/>
    <mergeCell ref="T496:T497"/>
    <mergeCell ref="U496:U497"/>
    <mergeCell ref="I496:I497"/>
    <mergeCell ref="K496:K497"/>
    <mergeCell ref="L496:L497"/>
    <mergeCell ref="M496:M497"/>
    <mergeCell ref="N496:N497"/>
    <mergeCell ref="O496:O497"/>
    <mergeCell ref="Z502:Z503"/>
    <mergeCell ref="AA502:AA503"/>
    <mergeCell ref="I502:I503"/>
    <mergeCell ref="K502:K503"/>
    <mergeCell ref="L502:L503"/>
    <mergeCell ref="M502:M503"/>
    <mergeCell ref="N502:N503"/>
    <mergeCell ref="P500:P501"/>
    <mergeCell ref="Q500:Q501"/>
    <mergeCell ref="R500:R501"/>
    <mergeCell ref="S500:S501"/>
    <mergeCell ref="I500:I501"/>
    <mergeCell ref="K500:K501"/>
    <mergeCell ref="L500:L501"/>
    <mergeCell ref="M500:M501"/>
    <mergeCell ref="N500:N501"/>
    <mergeCell ref="AE492:AE493"/>
    <mergeCell ref="S494:S495"/>
    <mergeCell ref="T494:T495"/>
    <mergeCell ref="Z494:Z495"/>
    <mergeCell ref="AA494:AA495"/>
    <mergeCell ref="AB494:AB495"/>
    <mergeCell ref="AE494:AE495"/>
    <mergeCell ref="S492:S493"/>
    <mergeCell ref="T492:T493"/>
    <mergeCell ref="U492:U493"/>
    <mergeCell ref="Y492:Y493"/>
    <mergeCell ref="Z492:Z493"/>
    <mergeCell ref="AA492:AA493"/>
    <mergeCell ref="AB498:AB499"/>
    <mergeCell ref="AC498:AC499"/>
    <mergeCell ref="AD498:AD499"/>
    <mergeCell ref="AE498:AE499"/>
    <mergeCell ref="AE490:AE491"/>
    <mergeCell ref="AD496:AD497"/>
    <mergeCell ref="AE496:AE497"/>
    <mergeCell ref="I498:I499"/>
    <mergeCell ref="K498:K499"/>
    <mergeCell ref="L498:L499"/>
    <mergeCell ref="M498:M499"/>
    <mergeCell ref="N498:N499"/>
    <mergeCell ref="O498:O499"/>
    <mergeCell ref="P498:P499"/>
    <mergeCell ref="Q498:Q499"/>
    <mergeCell ref="V496:V497"/>
    <mergeCell ref="Y496:Y497"/>
    <mergeCell ref="Z496:Z497"/>
    <mergeCell ref="AA496:AA497"/>
    <mergeCell ref="AB496:AB497"/>
    <mergeCell ref="AC496:AC497"/>
    <mergeCell ref="P496:P497"/>
    <mergeCell ref="Q496:Q497"/>
    <mergeCell ref="I492:I493"/>
    <mergeCell ref="K492:K493"/>
    <mergeCell ref="L492:L493"/>
    <mergeCell ref="M492:M493"/>
    <mergeCell ref="N492:N493"/>
    <mergeCell ref="O492:O493"/>
    <mergeCell ref="P492:P493"/>
    <mergeCell ref="Q492:Q493"/>
    <mergeCell ref="R492:R493"/>
    <mergeCell ref="Y490:Y491"/>
    <mergeCell ref="Z490:Z491"/>
    <mergeCell ref="AA490:AA491"/>
    <mergeCell ref="AB490:AB491"/>
    <mergeCell ref="AC490:AC491"/>
    <mergeCell ref="AD490:AD491"/>
    <mergeCell ref="R490:R491"/>
    <mergeCell ref="S490:S491"/>
    <mergeCell ref="T490:T491"/>
    <mergeCell ref="U490:U491"/>
    <mergeCell ref="V490:V491"/>
    <mergeCell ref="W490:W491"/>
    <mergeCell ref="AB492:AB493"/>
    <mergeCell ref="AC492:AC493"/>
    <mergeCell ref="AD492:AD493"/>
    <mergeCell ref="I488:I489"/>
    <mergeCell ref="Z488:Z489"/>
    <mergeCell ref="I490:I491"/>
    <mergeCell ref="K490:K491"/>
    <mergeCell ref="L490:L491"/>
    <mergeCell ref="M490:M491"/>
    <mergeCell ref="N490:N491"/>
    <mergeCell ref="O490:O491"/>
    <mergeCell ref="P490:P491"/>
    <mergeCell ref="Q490:Q491"/>
    <mergeCell ref="Z486:Z487"/>
    <mergeCell ref="AA486:AA487"/>
    <mergeCell ref="AB486:AB487"/>
    <mergeCell ref="AC486:AC487"/>
    <mergeCell ref="AD486:AD487"/>
    <mergeCell ref="AE486:AE487"/>
    <mergeCell ref="AE484:AE485"/>
    <mergeCell ref="K486:K487"/>
    <mergeCell ref="L486:L487"/>
    <mergeCell ref="M486:M487"/>
    <mergeCell ref="N486:N487"/>
    <mergeCell ref="O486:O487"/>
    <mergeCell ref="P486:P487"/>
    <mergeCell ref="Q486:Q487"/>
    <mergeCell ref="R486:R487"/>
    <mergeCell ref="Y486:Y487"/>
    <mergeCell ref="Y484:Y485"/>
    <mergeCell ref="Z484:Z485"/>
    <mergeCell ref="AA484:AA485"/>
    <mergeCell ref="AB484:AB485"/>
    <mergeCell ref="AC484:AC485"/>
    <mergeCell ref="AD484:AD485"/>
    <mergeCell ref="S484:S485"/>
    <mergeCell ref="T484:T485"/>
    <mergeCell ref="U484:U485"/>
    <mergeCell ref="V484:V485"/>
    <mergeCell ref="W484:W485"/>
    <mergeCell ref="X484:X485"/>
    <mergeCell ref="AE482:AE483"/>
    <mergeCell ref="I484:I485"/>
    <mergeCell ref="K484:K485"/>
    <mergeCell ref="L484:L485"/>
    <mergeCell ref="M484:M485"/>
    <mergeCell ref="N484:N485"/>
    <mergeCell ref="O484:O485"/>
    <mergeCell ref="P484:P485"/>
    <mergeCell ref="Q484:Q485"/>
    <mergeCell ref="R484:R485"/>
    <mergeCell ref="AB480:AB481"/>
    <mergeCell ref="AC480:AC481"/>
    <mergeCell ref="AD480:AD481"/>
    <mergeCell ref="AE480:AE481"/>
    <mergeCell ref="Y482:Y483"/>
    <mergeCell ref="Z482:Z483"/>
    <mergeCell ref="AA482:AA483"/>
    <mergeCell ref="AB482:AB483"/>
    <mergeCell ref="AC482:AC483"/>
    <mergeCell ref="AD482:AD483"/>
    <mergeCell ref="V480:V481"/>
    <mergeCell ref="W480:W481"/>
    <mergeCell ref="X480:X481"/>
    <mergeCell ref="Y480:Y481"/>
    <mergeCell ref="Z480:Z481"/>
    <mergeCell ref="AA480:AA481"/>
    <mergeCell ref="P480:P481"/>
    <mergeCell ref="Q480:Q481"/>
    <mergeCell ref="R480:R481"/>
    <mergeCell ref="S480:S481"/>
    <mergeCell ref="T480:T481"/>
    <mergeCell ref="U480:U481"/>
    <mergeCell ref="AE478:AE479"/>
    <mergeCell ref="I480:I481"/>
    <mergeCell ref="K480:K481"/>
    <mergeCell ref="L480:L481"/>
    <mergeCell ref="M480:M481"/>
    <mergeCell ref="N480:N481"/>
    <mergeCell ref="O480:O481"/>
    <mergeCell ref="V478:V479"/>
    <mergeCell ref="W478:W479"/>
    <mergeCell ref="X478:X479"/>
    <mergeCell ref="Y478:Y479"/>
    <mergeCell ref="Z478:Z479"/>
    <mergeCell ref="AA478:AA479"/>
    <mergeCell ref="P478:P479"/>
    <mergeCell ref="Q478:Q479"/>
    <mergeCell ref="R478:R479"/>
    <mergeCell ref="S478:S479"/>
    <mergeCell ref="T478:T479"/>
    <mergeCell ref="U478:U479"/>
    <mergeCell ref="AC474:AC476"/>
    <mergeCell ref="AD474:AD476"/>
    <mergeCell ref="AE474:AE476"/>
    <mergeCell ref="J475:J476"/>
    <mergeCell ref="I478:I479"/>
    <mergeCell ref="K478:K479"/>
    <mergeCell ref="L478:L479"/>
    <mergeCell ref="M478:M479"/>
    <mergeCell ref="N478:N479"/>
    <mergeCell ref="O478:O479"/>
    <mergeCell ref="W474:W476"/>
    <mergeCell ref="X474:X476"/>
    <mergeCell ref="Y474:Y476"/>
    <mergeCell ref="Z474:Z476"/>
    <mergeCell ref="AA474:AA476"/>
    <mergeCell ref="AB474:AB476"/>
    <mergeCell ref="Q474:Q476"/>
    <mergeCell ref="R474:R476"/>
    <mergeCell ref="S474:S476"/>
    <mergeCell ref="T474:T476"/>
    <mergeCell ref="U474:U476"/>
    <mergeCell ref="V474:V476"/>
    <mergeCell ref="I474:I476"/>
    <mergeCell ref="K474:K476"/>
    <mergeCell ref="L474:L476"/>
    <mergeCell ref="M474:M476"/>
    <mergeCell ref="N474:N476"/>
    <mergeCell ref="O474:O476"/>
    <mergeCell ref="P474:P476"/>
    <mergeCell ref="AB478:AB479"/>
    <mergeCell ref="AC478:AC479"/>
    <mergeCell ref="AD478:AD479"/>
    <mergeCell ref="I472:I473"/>
    <mergeCell ref="K472:K473"/>
    <mergeCell ref="L472:L473"/>
    <mergeCell ref="M472:M473"/>
    <mergeCell ref="N472:N473"/>
    <mergeCell ref="O472:O473"/>
    <mergeCell ref="P472:P473"/>
    <mergeCell ref="W470:W471"/>
    <mergeCell ref="X470:X471"/>
    <mergeCell ref="Y470:Y471"/>
    <mergeCell ref="Z470:Z471"/>
    <mergeCell ref="AA470:AA471"/>
    <mergeCell ref="AB470:AB471"/>
    <mergeCell ref="Q470:Q471"/>
    <mergeCell ref="R470:R471"/>
    <mergeCell ref="S470:S471"/>
    <mergeCell ref="T470:T471"/>
    <mergeCell ref="U470:U471"/>
    <mergeCell ref="V470:V471"/>
    <mergeCell ref="AC472:AC473"/>
    <mergeCell ref="AD472:AD473"/>
    <mergeCell ref="AE472:AE473"/>
    <mergeCell ref="AB468:AB469"/>
    <mergeCell ref="AC468:AC469"/>
    <mergeCell ref="AD468:AD469"/>
    <mergeCell ref="I470:I471"/>
    <mergeCell ref="K470:K471"/>
    <mergeCell ref="L470:L471"/>
    <mergeCell ref="M470:M471"/>
    <mergeCell ref="N470:N471"/>
    <mergeCell ref="O470:O471"/>
    <mergeCell ref="P470:P471"/>
    <mergeCell ref="P468:P469"/>
    <mergeCell ref="Q468:Q469"/>
    <mergeCell ref="R468:R469"/>
    <mergeCell ref="Y468:Y469"/>
    <mergeCell ref="Z468:Z469"/>
    <mergeCell ref="AA468:AA469"/>
    <mergeCell ref="W472:W473"/>
    <mergeCell ref="X472:X473"/>
    <mergeCell ref="Y472:Y473"/>
    <mergeCell ref="Z472:Z473"/>
    <mergeCell ref="AA472:AA473"/>
    <mergeCell ref="AB472:AB473"/>
    <mergeCell ref="Q472:Q473"/>
    <mergeCell ref="R472:R473"/>
    <mergeCell ref="S472:S473"/>
    <mergeCell ref="T472:T473"/>
    <mergeCell ref="U472:U473"/>
    <mergeCell ref="V472:V473"/>
    <mergeCell ref="AE470:AE471"/>
    <mergeCell ref="L464:L465"/>
    <mergeCell ref="M464:M465"/>
    <mergeCell ref="N464:N465"/>
    <mergeCell ref="AA466:AA467"/>
    <mergeCell ref="AB466:AB467"/>
    <mergeCell ref="AC466:AC467"/>
    <mergeCell ref="AD466:AD467"/>
    <mergeCell ref="AC470:AC471"/>
    <mergeCell ref="AD470:AD471"/>
    <mergeCell ref="K468:K469"/>
    <mergeCell ref="L468:L469"/>
    <mergeCell ref="M468:M469"/>
    <mergeCell ref="N468:N469"/>
    <mergeCell ref="O468:O469"/>
    <mergeCell ref="U466:U467"/>
    <mergeCell ref="V466:V467"/>
    <mergeCell ref="W466:W467"/>
    <mergeCell ref="X466:X467"/>
    <mergeCell ref="Y466:Y467"/>
    <mergeCell ref="Z466:Z467"/>
    <mergeCell ref="O466:O467"/>
    <mergeCell ref="P466:P467"/>
    <mergeCell ref="Q466:Q467"/>
    <mergeCell ref="R466:R467"/>
    <mergeCell ref="S466:S467"/>
    <mergeCell ref="T466:T467"/>
    <mergeCell ref="AD460:AD461"/>
    <mergeCell ref="AE460:AE461"/>
    <mergeCell ref="AA462:AA463"/>
    <mergeCell ref="AB462:AB463"/>
    <mergeCell ref="AC462:AC463"/>
    <mergeCell ref="AD462:AD463"/>
    <mergeCell ref="AE462:AE463"/>
    <mergeCell ref="AA464:AA465"/>
    <mergeCell ref="AB464:AB465"/>
    <mergeCell ref="AC464:AC465"/>
    <mergeCell ref="AD464:AD465"/>
    <mergeCell ref="AE464:AE465"/>
    <mergeCell ref="I466:I467"/>
    <mergeCell ref="K466:K467"/>
    <mergeCell ref="L466:L467"/>
    <mergeCell ref="M466:M467"/>
    <mergeCell ref="N466:N467"/>
    <mergeCell ref="U464:U465"/>
    <mergeCell ref="V464:V465"/>
    <mergeCell ref="W464:W465"/>
    <mergeCell ref="X464:X465"/>
    <mergeCell ref="Y464:Y465"/>
    <mergeCell ref="Z464:Z465"/>
    <mergeCell ref="O464:O465"/>
    <mergeCell ref="P464:P465"/>
    <mergeCell ref="Q464:Q465"/>
    <mergeCell ref="R464:R465"/>
    <mergeCell ref="S464:S465"/>
    <mergeCell ref="T464:T465"/>
    <mergeCell ref="AE466:AE467"/>
    <mergeCell ref="I464:I465"/>
    <mergeCell ref="K464:K465"/>
    <mergeCell ref="M460:M461"/>
    <mergeCell ref="N460:N461"/>
    <mergeCell ref="U462:U463"/>
    <mergeCell ref="V462:V463"/>
    <mergeCell ref="W462:W463"/>
    <mergeCell ref="X462:X463"/>
    <mergeCell ref="Y462:Y463"/>
    <mergeCell ref="Z462:Z463"/>
    <mergeCell ref="O462:O463"/>
    <mergeCell ref="P462:P463"/>
    <mergeCell ref="Q462:Q463"/>
    <mergeCell ref="R462:R463"/>
    <mergeCell ref="S462:S463"/>
    <mergeCell ref="T462:T463"/>
    <mergeCell ref="AA460:AA461"/>
    <mergeCell ref="AB460:AB461"/>
    <mergeCell ref="AC460:AC461"/>
    <mergeCell ref="S458:S459"/>
    <mergeCell ref="T458:T459"/>
    <mergeCell ref="AA456:AA457"/>
    <mergeCell ref="AB456:AB457"/>
    <mergeCell ref="AC456:AC457"/>
    <mergeCell ref="AD456:AD457"/>
    <mergeCell ref="AE456:AE457"/>
    <mergeCell ref="AA458:AA459"/>
    <mergeCell ref="AB458:AB459"/>
    <mergeCell ref="AC458:AC459"/>
    <mergeCell ref="AD458:AD459"/>
    <mergeCell ref="AE458:AE459"/>
    <mergeCell ref="I462:I463"/>
    <mergeCell ref="K462:K463"/>
    <mergeCell ref="L462:L463"/>
    <mergeCell ref="M462:M463"/>
    <mergeCell ref="N462:N463"/>
    <mergeCell ref="U460:U461"/>
    <mergeCell ref="V460:V461"/>
    <mergeCell ref="W460:W461"/>
    <mergeCell ref="X460:X461"/>
    <mergeCell ref="Y460:Y461"/>
    <mergeCell ref="Z460:Z461"/>
    <mergeCell ref="O460:O461"/>
    <mergeCell ref="P460:P461"/>
    <mergeCell ref="Q460:Q461"/>
    <mergeCell ref="R460:R461"/>
    <mergeCell ref="S460:S461"/>
    <mergeCell ref="T460:T461"/>
    <mergeCell ref="I460:I461"/>
    <mergeCell ref="K460:K461"/>
    <mergeCell ref="L460:L461"/>
    <mergeCell ref="I458:I459"/>
    <mergeCell ref="K458:K459"/>
    <mergeCell ref="L458:L459"/>
    <mergeCell ref="M458:M459"/>
    <mergeCell ref="N458:N459"/>
    <mergeCell ref="U456:U457"/>
    <mergeCell ref="V456:V457"/>
    <mergeCell ref="W456:W457"/>
    <mergeCell ref="X456:X457"/>
    <mergeCell ref="Y456:Y457"/>
    <mergeCell ref="Z456:Z457"/>
    <mergeCell ref="O456:O457"/>
    <mergeCell ref="P456:P457"/>
    <mergeCell ref="Q456:Q457"/>
    <mergeCell ref="R456:R457"/>
    <mergeCell ref="S456:S457"/>
    <mergeCell ref="T456:T457"/>
    <mergeCell ref="I456:I457"/>
    <mergeCell ref="K456:K457"/>
    <mergeCell ref="L456:L457"/>
    <mergeCell ref="M456:M457"/>
    <mergeCell ref="N456:N457"/>
    <mergeCell ref="U458:U459"/>
    <mergeCell ref="V458:V459"/>
    <mergeCell ref="W458:W459"/>
    <mergeCell ref="X458:X459"/>
    <mergeCell ref="Y458:Y459"/>
    <mergeCell ref="Z458:Z459"/>
    <mergeCell ref="O458:O459"/>
    <mergeCell ref="P458:P459"/>
    <mergeCell ref="Q458:Q459"/>
    <mergeCell ref="R458:R459"/>
    <mergeCell ref="I454:I455"/>
    <mergeCell ref="K454:K455"/>
    <mergeCell ref="L454:L455"/>
    <mergeCell ref="M454:M455"/>
    <mergeCell ref="N454:N455"/>
    <mergeCell ref="U452:U453"/>
    <mergeCell ref="V452:V453"/>
    <mergeCell ref="W452:W453"/>
    <mergeCell ref="X452:X453"/>
    <mergeCell ref="Y452:Y453"/>
    <mergeCell ref="Z452:Z453"/>
    <mergeCell ref="O452:O453"/>
    <mergeCell ref="P452:P453"/>
    <mergeCell ref="Q452:Q453"/>
    <mergeCell ref="R452:R453"/>
    <mergeCell ref="S452:S453"/>
    <mergeCell ref="T452:T453"/>
    <mergeCell ref="AA454:AA455"/>
    <mergeCell ref="AB454:AB455"/>
    <mergeCell ref="AC454:AC455"/>
    <mergeCell ref="AD454:AD455"/>
    <mergeCell ref="AE454:AE455"/>
    <mergeCell ref="A440:B440"/>
    <mergeCell ref="A441:B441"/>
    <mergeCell ref="K452:K453"/>
    <mergeCell ref="L452:L453"/>
    <mergeCell ref="M452:M453"/>
    <mergeCell ref="N452:N453"/>
    <mergeCell ref="A434:AB434"/>
    <mergeCell ref="A436:Z436"/>
    <mergeCell ref="A437:B437"/>
    <mergeCell ref="A438:B438"/>
    <mergeCell ref="A439:B439"/>
    <mergeCell ref="I439:J439"/>
    <mergeCell ref="U454:U455"/>
    <mergeCell ref="V454:V455"/>
    <mergeCell ref="W454:W455"/>
    <mergeCell ref="X454:X455"/>
    <mergeCell ref="Y454:Y455"/>
    <mergeCell ref="Z454:Z455"/>
    <mergeCell ref="O454:O455"/>
    <mergeCell ref="P454:P455"/>
    <mergeCell ref="Q454:Q455"/>
    <mergeCell ref="R454:R455"/>
    <mergeCell ref="S454:S455"/>
    <mergeCell ref="T454:T455"/>
    <mergeCell ref="AC452:AC453"/>
    <mergeCell ref="AD452:AD453"/>
    <mergeCell ref="AE452:AE453"/>
    <mergeCell ref="A415:AB415"/>
    <mergeCell ref="A420:AB420"/>
    <mergeCell ref="A421:AB421"/>
    <mergeCell ref="A425:AB425"/>
    <mergeCell ref="A426:AB426"/>
    <mergeCell ref="A433:AB433"/>
    <mergeCell ref="AA452:AA453"/>
    <mergeCell ref="AB452:AB453"/>
    <mergeCell ref="A389:AB389"/>
    <mergeCell ref="A396:AB396"/>
    <mergeCell ref="A397:AB397"/>
    <mergeCell ref="A408:AB408"/>
    <mergeCell ref="A409:AB409"/>
    <mergeCell ref="A414:AB414"/>
    <mergeCell ref="A373:AB373"/>
    <mergeCell ref="A379:AB379"/>
    <mergeCell ref="A380:AB380"/>
    <mergeCell ref="A384:AB384"/>
    <mergeCell ref="A385:AB385"/>
    <mergeCell ref="A388:AB388"/>
    <mergeCell ref="A312:AB312"/>
    <mergeCell ref="A313:AB313"/>
    <mergeCell ref="A320:AB320"/>
    <mergeCell ref="A321:AB321"/>
    <mergeCell ref="A325:AB325"/>
    <mergeCell ref="A372:AB372"/>
    <mergeCell ref="A279:AB279"/>
    <mergeCell ref="A280:AB280"/>
    <mergeCell ref="A288:AB288"/>
    <mergeCell ref="A289:AB289"/>
    <mergeCell ref="A299:AB299"/>
    <mergeCell ref="A300:AB300"/>
    <mergeCell ref="A259:AB259"/>
    <mergeCell ref="A260:AB260"/>
    <mergeCell ref="A263:AB263"/>
    <mergeCell ref="A264:AB264"/>
    <mergeCell ref="A271:AB271"/>
    <mergeCell ref="A272:AB272"/>
    <mergeCell ref="I217:P217"/>
    <mergeCell ref="B218:P218"/>
    <mergeCell ref="A234:AB234"/>
    <mergeCell ref="A235:AB235"/>
    <mergeCell ref="A255:AB255"/>
    <mergeCell ref="A256:AB256"/>
    <mergeCell ref="A79:AE79"/>
    <mergeCell ref="A89:AE89"/>
    <mergeCell ref="I90:I91"/>
    <mergeCell ref="A107:AE107"/>
    <mergeCell ref="A116:AE116"/>
    <mergeCell ref="B143:B146"/>
    <mergeCell ref="Y12:Z12"/>
    <mergeCell ref="AA12:AB12"/>
    <mergeCell ref="AC12:AD12"/>
    <mergeCell ref="AE12:AE13"/>
    <mergeCell ref="I44:I46"/>
    <mergeCell ref="A73:AE73"/>
    <mergeCell ref="M12:N12"/>
    <mergeCell ref="O12:P12"/>
    <mergeCell ref="Q12:R12"/>
    <mergeCell ref="S12:T12"/>
    <mergeCell ref="U12:V12"/>
    <mergeCell ref="W12:X12"/>
    <mergeCell ref="A12:A13"/>
    <mergeCell ref="B12:B13"/>
    <mergeCell ref="C12:H13"/>
    <mergeCell ref="I12:I13"/>
    <mergeCell ref="J12:J13"/>
    <mergeCell ref="K12:L12"/>
    <mergeCell ref="O10:P11"/>
    <mergeCell ref="Q10:X10"/>
    <mergeCell ref="Y10:Z11"/>
    <mergeCell ref="AA10:AB11"/>
    <mergeCell ref="AC10:AD11"/>
    <mergeCell ref="AE10:AE11"/>
    <mergeCell ref="Q11:R11"/>
    <mergeCell ref="S11:T11"/>
    <mergeCell ref="U11:V11"/>
    <mergeCell ref="W11:X11"/>
    <mergeCell ref="A1:AE1"/>
    <mergeCell ref="A2:AE2"/>
    <mergeCell ref="A3:AE3"/>
    <mergeCell ref="A10:A11"/>
    <mergeCell ref="B10:B11"/>
    <mergeCell ref="C10:H11"/>
    <mergeCell ref="I10:I11"/>
    <mergeCell ref="J10:J11"/>
    <mergeCell ref="K10:L11"/>
    <mergeCell ref="M10:N11"/>
  </mergeCells>
  <pageMargins left="0.16" right="0.15" top="0.511811023622047" bottom="0.35433070866141703" header="0.31496062992126" footer="0.196850393700787"/>
  <pageSetup paperSize="258" scale="63"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AE58"/>
  <sheetViews>
    <sheetView zoomScale="70" zoomScaleNormal="70" workbookViewId="0">
      <selection activeCell="AC5" sqref="AC5"/>
    </sheetView>
  </sheetViews>
  <sheetFormatPr defaultRowHeight="15"/>
  <cols>
    <col min="1" max="1" width="5.5703125" customWidth="1"/>
    <col min="2" max="2" width="14.140625" customWidth="1"/>
    <col min="3" max="5" width="3.28515625" customWidth="1"/>
    <col min="6" max="7" width="3.85546875" customWidth="1"/>
    <col min="8" max="8" width="3.7109375" customWidth="1"/>
    <col min="9" max="9" width="17.85546875" customWidth="1"/>
    <col min="10" max="10" width="11.85546875" customWidth="1"/>
    <col min="11" max="11" width="7.5703125" customWidth="1"/>
    <col min="12" max="12" width="13.28515625" customWidth="1"/>
    <col min="13" max="13" width="7.140625" customWidth="1"/>
    <col min="14" max="14" width="10.85546875" customWidth="1"/>
    <col min="15" max="15" width="8" customWidth="1"/>
    <col min="16" max="16" width="12.85546875" customWidth="1"/>
    <col min="17" max="17" width="5.28515625" customWidth="1"/>
    <col min="18" max="18" width="8.42578125" customWidth="1"/>
    <col min="19" max="19" width="5.28515625" customWidth="1"/>
    <col min="20" max="20" width="9" customWidth="1"/>
    <col min="21" max="21" width="5.28515625" customWidth="1"/>
    <col min="22" max="22" width="9" customWidth="1"/>
    <col min="23" max="23" width="5.28515625" customWidth="1"/>
    <col min="24" max="24" width="9" customWidth="1"/>
    <col min="25" max="25" width="6.42578125" customWidth="1"/>
    <col min="26" max="26" width="8.7109375" customWidth="1"/>
    <col min="27" max="27" width="8.85546875" customWidth="1"/>
    <col min="28" max="28" width="10.28515625" customWidth="1"/>
    <col min="29" max="29" width="8.140625" customWidth="1"/>
    <col min="30" max="30" width="10.42578125" customWidth="1"/>
    <col min="31" max="31" width="14.85546875" customWidth="1"/>
  </cols>
  <sheetData>
    <row r="1" spans="1:31" ht="18.75">
      <c r="A1" s="2623" t="s">
        <v>0</v>
      </c>
      <c r="B1" s="2623"/>
      <c r="C1" s="2623"/>
      <c r="D1" s="2623"/>
      <c r="E1" s="2623"/>
      <c r="F1" s="2623"/>
      <c r="G1" s="2623"/>
      <c r="H1" s="2623"/>
      <c r="I1" s="2623"/>
      <c r="J1" s="2623"/>
      <c r="K1" s="2623"/>
      <c r="L1" s="2623"/>
      <c r="M1" s="2623"/>
      <c r="N1" s="2623"/>
      <c r="O1" s="2623"/>
      <c r="P1" s="2623"/>
      <c r="Q1" s="2623"/>
      <c r="R1" s="2623"/>
      <c r="S1" s="2623"/>
      <c r="T1" s="2623"/>
      <c r="U1" s="2623"/>
      <c r="V1" s="2623"/>
      <c r="W1" s="2623"/>
      <c r="X1" s="2623"/>
      <c r="Y1" s="2623"/>
      <c r="Z1" s="2623"/>
      <c r="AA1" s="2623"/>
      <c r="AB1" s="2623"/>
      <c r="AC1" s="2623"/>
      <c r="AD1" s="2623"/>
      <c r="AE1" s="2623"/>
    </row>
    <row r="2" spans="1:31" ht="18.75">
      <c r="A2" s="2623" t="s">
        <v>91</v>
      </c>
      <c r="B2" s="2623"/>
      <c r="C2" s="2623"/>
      <c r="D2" s="2623"/>
      <c r="E2" s="2623"/>
      <c r="F2" s="2623"/>
      <c r="G2" s="2623"/>
      <c r="H2" s="2623"/>
      <c r="I2" s="2623"/>
      <c r="J2" s="2623"/>
      <c r="K2" s="2623"/>
      <c r="L2" s="2623"/>
      <c r="M2" s="2623"/>
      <c r="N2" s="2623"/>
      <c r="O2" s="2623"/>
      <c r="P2" s="2623"/>
      <c r="Q2" s="2623"/>
      <c r="R2" s="2623"/>
      <c r="S2" s="2623"/>
      <c r="T2" s="2623"/>
      <c r="U2" s="2623"/>
      <c r="V2" s="2623"/>
      <c r="W2" s="2623"/>
      <c r="X2" s="2623"/>
      <c r="Y2" s="2623"/>
      <c r="Z2" s="2623"/>
      <c r="AA2" s="2623"/>
      <c r="AB2" s="2623"/>
      <c r="AC2" s="2623"/>
      <c r="AD2" s="2623"/>
      <c r="AE2" s="2623"/>
    </row>
    <row r="3" spans="1:31" ht="18.75">
      <c r="A3" s="2623" t="s">
        <v>92</v>
      </c>
      <c r="B3" s="2623"/>
      <c r="C3" s="2623"/>
      <c r="D3" s="2623"/>
      <c r="E3" s="2623"/>
      <c r="F3" s="2623"/>
      <c r="G3" s="2623"/>
      <c r="H3" s="2623"/>
      <c r="I3" s="2623"/>
      <c r="J3" s="2623"/>
      <c r="K3" s="2623"/>
      <c r="L3" s="2623"/>
      <c r="M3" s="2623"/>
      <c r="N3" s="2623"/>
      <c r="O3" s="2623"/>
      <c r="P3" s="2623"/>
      <c r="Q3" s="2623"/>
      <c r="R3" s="2623"/>
      <c r="S3" s="2623"/>
      <c r="T3" s="2623"/>
      <c r="U3" s="2623"/>
      <c r="V3" s="2623"/>
      <c r="W3" s="2623"/>
      <c r="X3" s="2623"/>
      <c r="Y3" s="2623"/>
      <c r="Z3" s="2623"/>
      <c r="AA3" s="2623"/>
      <c r="AB3" s="2623"/>
      <c r="AC3" s="2623"/>
      <c r="AD3" s="2623"/>
      <c r="AE3" s="2623"/>
    </row>
    <row r="5" spans="1:31">
      <c r="A5" s="2" t="s">
        <v>58</v>
      </c>
      <c r="B5" s="2"/>
      <c r="C5" s="2"/>
      <c r="D5" s="2"/>
      <c r="E5" s="2"/>
      <c r="F5" s="2"/>
      <c r="G5" s="2"/>
      <c r="H5" s="2"/>
      <c r="I5" s="2"/>
      <c r="J5" s="2"/>
      <c r="K5" s="2"/>
      <c r="L5" s="2"/>
      <c r="M5" s="2"/>
      <c r="N5" s="2"/>
      <c r="O5" s="2"/>
    </row>
    <row r="6" spans="1:31">
      <c r="A6" s="40">
        <v>1</v>
      </c>
      <c r="B6" s="40" t="s">
        <v>108</v>
      </c>
      <c r="C6" s="40"/>
      <c r="D6" s="40"/>
      <c r="E6" s="40"/>
      <c r="F6" s="40"/>
      <c r="G6" s="40"/>
      <c r="H6" s="40"/>
      <c r="I6" s="40"/>
      <c r="J6" s="40"/>
      <c r="K6" s="40"/>
      <c r="L6" s="40"/>
      <c r="M6" s="40"/>
      <c r="N6" s="40"/>
      <c r="O6" s="40"/>
    </row>
    <row r="7" spans="1:31">
      <c r="A7" s="40">
        <v>2</v>
      </c>
      <c r="B7" s="40" t="s">
        <v>109</v>
      </c>
      <c r="C7" s="40"/>
      <c r="D7" s="40"/>
      <c r="E7" s="40"/>
      <c r="F7" s="40"/>
      <c r="G7" s="40"/>
      <c r="H7" s="40"/>
      <c r="I7" s="40"/>
      <c r="J7" s="40"/>
      <c r="K7" s="40"/>
      <c r="L7" s="40"/>
      <c r="M7" s="40"/>
      <c r="N7" s="40"/>
      <c r="O7" s="40"/>
    </row>
    <row r="8" spans="1:31">
      <c r="A8" s="40">
        <v>3</v>
      </c>
      <c r="B8" s="40" t="s">
        <v>110</v>
      </c>
      <c r="C8" s="40"/>
      <c r="D8" s="40"/>
      <c r="E8" s="40"/>
      <c r="F8" s="40"/>
      <c r="G8" s="40"/>
      <c r="H8" s="40"/>
      <c r="I8" s="40"/>
      <c r="J8" s="40"/>
      <c r="K8" s="40"/>
      <c r="L8" s="40"/>
      <c r="M8" s="40"/>
      <c r="N8" s="40"/>
      <c r="O8" s="40"/>
    </row>
    <row r="10" spans="1:31">
      <c r="A10" s="2642" t="s">
        <v>1</v>
      </c>
      <c r="B10" s="2642" t="s">
        <v>2</v>
      </c>
      <c r="C10" s="2628" t="s">
        <v>60</v>
      </c>
      <c r="D10" s="2645"/>
      <c r="E10" s="2645"/>
      <c r="F10" s="2645"/>
      <c r="G10" s="2645"/>
      <c r="H10" s="2629"/>
      <c r="I10" s="2648" t="s">
        <v>59</v>
      </c>
      <c r="J10" s="41"/>
      <c r="K10" s="2619"/>
      <c r="L10" s="2620"/>
      <c r="M10" s="2619" t="s">
        <v>14</v>
      </c>
      <c r="N10" s="2620"/>
      <c r="O10" s="42"/>
      <c r="P10" s="43"/>
      <c r="Q10" s="2619" t="s">
        <v>28</v>
      </c>
      <c r="R10" s="2640"/>
      <c r="S10" s="2640"/>
      <c r="T10" s="2640"/>
      <c r="U10" s="2640"/>
      <c r="V10" s="2640"/>
      <c r="W10" s="2640"/>
      <c r="X10" s="2620"/>
      <c r="Y10" s="2619"/>
      <c r="Z10" s="2620"/>
      <c r="AA10" s="44"/>
      <c r="AB10" s="43"/>
      <c r="AC10" s="44"/>
      <c r="AD10" s="43"/>
      <c r="AE10" s="41"/>
    </row>
    <row r="11" spans="1:31">
      <c r="A11" s="2643"/>
      <c r="B11" s="2643"/>
      <c r="C11" s="2630"/>
      <c r="D11" s="2646"/>
      <c r="E11" s="2646"/>
      <c r="F11" s="2646"/>
      <c r="G11" s="2646"/>
      <c r="H11" s="2631"/>
      <c r="I11" s="2649"/>
      <c r="J11" s="45"/>
      <c r="K11" s="2626" t="s">
        <v>7</v>
      </c>
      <c r="L11" s="2627"/>
      <c r="M11" s="2626" t="s">
        <v>15</v>
      </c>
      <c r="N11" s="2627"/>
      <c r="O11" s="46"/>
      <c r="P11" s="47"/>
      <c r="Q11" s="2621" t="s">
        <v>29</v>
      </c>
      <c r="R11" s="2641"/>
      <c r="S11" s="2641"/>
      <c r="T11" s="2641"/>
      <c r="U11" s="2641"/>
      <c r="V11" s="2641"/>
      <c r="W11" s="2641"/>
      <c r="X11" s="2622"/>
      <c r="Y11" s="2626"/>
      <c r="Z11" s="2627"/>
      <c r="AA11" s="2626" t="s">
        <v>39</v>
      </c>
      <c r="AB11" s="2627"/>
      <c r="AC11" s="48"/>
      <c r="AD11" s="47"/>
      <c r="AE11" s="45"/>
    </row>
    <row r="12" spans="1:31">
      <c r="A12" s="2643"/>
      <c r="B12" s="2643"/>
      <c r="C12" s="2630"/>
      <c r="D12" s="2646"/>
      <c r="E12" s="2646"/>
      <c r="F12" s="2646"/>
      <c r="G12" s="2646"/>
      <c r="H12" s="2631"/>
      <c r="I12" s="2649"/>
      <c r="J12" s="45"/>
      <c r="K12" s="2626" t="s">
        <v>8</v>
      </c>
      <c r="L12" s="2627"/>
      <c r="M12" s="2626" t="s">
        <v>16</v>
      </c>
      <c r="N12" s="2627"/>
      <c r="O12" s="2626" t="s">
        <v>21</v>
      </c>
      <c r="P12" s="2627"/>
      <c r="Q12" s="2628" t="s">
        <v>30</v>
      </c>
      <c r="R12" s="2629"/>
      <c r="S12" s="2628" t="s">
        <v>31</v>
      </c>
      <c r="T12" s="2629"/>
      <c r="U12" s="2628" t="s">
        <v>31</v>
      </c>
      <c r="V12" s="2629"/>
      <c r="W12" s="2628" t="s">
        <v>32</v>
      </c>
      <c r="X12" s="2629"/>
      <c r="Y12" s="2626" t="s">
        <v>33</v>
      </c>
      <c r="Z12" s="2627"/>
      <c r="AA12" s="2626" t="s">
        <v>22</v>
      </c>
      <c r="AB12" s="2627"/>
      <c r="AC12" s="48"/>
      <c r="AD12" s="47"/>
      <c r="AE12" s="45"/>
    </row>
    <row r="13" spans="1:31">
      <c r="A13" s="2643"/>
      <c r="B13" s="2643"/>
      <c r="C13" s="2630"/>
      <c r="D13" s="2646"/>
      <c r="E13" s="2646"/>
      <c r="F13" s="2646"/>
      <c r="G13" s="2646"/>
      <c r="H13" s="2631"/>
      <c r="I13" s="2649"/>
      <c r="J13" s="49" t="s">
        <v>63</v>
      </c>
      <c r="K13" s="2626" t="s">
        <v>9</v>
      </c>
      <c r="L13" s="2627"/>
      <c r="M13" s="2626" t="s">
        <v>12</v>
      </c>
      <c r="N13" s="2627"/>
      <c r="O13" s="2626" t="s">
        <v>22</v>
      </c>
      <c r="P13" s="2627"/>
      <c r="Q13" s="2630"/>
      <c r="R13" s="2631"/>
      <c r="S13" s="2630"/>
      <c r="T13" s="2631"/>
      <c r="U13" s="2630"/>
      <c r="V13" s="2631"/>
      <c r="W13" s="2630"/>
      <c r="X13" s="2631"/>
      <c r="Y13" s="2626" t="s">
        <v>34</v>
      </c>
      <c r="Z13" s="2627"/>
      <c r="AA13" s="2626" t="s">
        <v>40</v>
      </c>
      <c r="AB13" s="2627"/>
      <c r="AC13" s="2626" t="s">
        <v>45</v>
      </c>
      <c r="AD13" s="2627"/>
      <c r="AE13" s="45"/>
    </row>
    <row r="14" spans="1:31">
      <c r="A14" s="2643"/>
      <c r="B14" s="2643"/>
      <c r="C14" s="2630"/>
      <c r="D14" s="2646"/>
      <c r="E14" s="2646"/>
      <c r="F14" s="2646"/>
      <c r="G14" s="2646"/>
      <c r="H14" s="2631"/>
      <c r="I14" s="2649"/>
      <c r="J14" s="49" t="s">
        <v>64</v>
      </c>
      <c r="K14" s="2626" t="s">
        <v>75</v>
      </c>
      <c r="L14" s="2627"/>
      <c r="M14" s="2626" t="s">
        <v>8</v>
      </c>
      <c r="N14" s="2627"/>
      <c r="O14" s="2626" t="s">
        <v>23</v>
      </c>
      <c r="P14" s="2627"/>
      <c r="Q14" s="2630"/>
      <c r="R14" s="2631"/>
      <c r="S14" s="2630"/>
      <c r="T14" s="2631"/>
      <c r="U14" s="2630"/>
      <c r="V14" s="2631"/>
      <c r="W14" s="2630"/>
      <c r="X14" s="2631"/>
      <c r="Y14" s="2626" t="s">
        <v>35</v>
      </c>
      <c r="Z14" s="2627"/>
      <c r="AA14" s="45" t="s">
        <v>41</v>
      </c>
      <c r="AB14" s="45"/>
      <c r="AC14" s="2626" t="s">
        <v>46</v>
      </c>
      <c r="AD14" s="2627"/>
      <c r="AE14" s="49" t="s">
        <v>48</v>
      </c>
    </row>
    <row r="15" spans="1:31">
      <c r="A15" s="2643"/>
      <c r="B15" s="2643"/>
      <c r="C15" s="2630"/>
      <c r="D15" s="2646"/>
      <c r="E15" s="2646"/>
      <c r="F15" s="2646"/>
      <c r="G15" s="2646"/>
      <c r="H15" s="2631"/>
      <c r="I15" s="2649"/>
      <c r="J15" s="49" t="s">
        <v>3</v>
      </c>
      <c r="K15" s="2626" t="s">
        <v>10</v>
      </c>
      <c r="L15" s="2627"/>
      <c r="M15" s="2626" t="s">
        <v>17</v>
      </c>
      <c r="N15" s="2627"/>
      <c r="O15" s="2626" t="s">
        <v>8</v>
      </c>
      <c r="P15" s="2627"/>
      <c r="Q15" s="2630"/>
      <c r="R15" s="2631"/>
      <c r="S15" s="2630"/>
      <c r="T15" s="2631"/>
      <c r="U15" s="2630"/>
      <c r="V15" s="2631"/>
      <c r="W15" s="2630"/>
      <c r="X15" s="2631"/>
      <c r="Y15" s="2626" t="s">
        <v>36</v>
      </c>
      <c r="Z15" s="2627"/>
      <c r="AA15" s="2626">
        <v>2018</v>
      </c>
      <c r="AB15" s="2627"/>
      <c r="AC15" s="2626" t="s">
        <v>44</v>
      </c>
      <c r="AD15" s="2627"/>
      <c r="AE15" s="49" t="s">
        <v>17</v>
      </c>
    </row>
    <row r="16" spans="1:31">
      <c r="A16" s="2643"/>
      <c r="B16" s="2643"/>
      <c r="C16" s="2630"/>
      <c r="D16" s="2646"/>
      <c r="E16" s="2646"/>
      <c r="F16" s="2646"/>
      <c r="G16" s="2646"/>
      <c r="H16" s="2631"/>
      <c r="I16" s="2649"/>
      <c r="J16" s="49" t="s">
        <v>4</v>
      </c>
      <c r="K16" s="2626" t="s">
        <v>11</v>
      </c>
      <c r="L16" s="2627"/>
      <c r="M16" s="2626" t="s">
        <v>18</v>
      </c>
      <c r="N16" s="2627"/>
      <c r="O16" s="2626" t="s">
        <v>24</v>
      </c>
      <c r="P16" s="2627"/>
      <c r="Q16" s="2630"/>
      <c r="R16" s="2631"/>
      <c r="S16" s="2630"/>
      <c r="T16" s="2631"/>
      <c r="U16" s="2630"/>
      <c r="V16" s="2631"/>
      <c r="W16" s="2630"/>
      <c r="X16" s="2631"/>
      <c r="Y16" s="2626" t="s">
        <v>37</v>
      </c>
      <c r="Z16" s="2627"/>
      <c r="AA16" s="2626" t="s">
        <v>42</v>
      </c>
      <c r="AB16" s="2627"/>
      <c r="AC16" s="2626" t="s">
        <v>71</v>
      </c>
      <c r="AD16" s="2627"/>
      <c r="AE16" s="49" t="s">
        <v>49</v>
      </c>
    </row>
    <row r="17" spans="1:31">
      <c r="A17" s="2643"/>
      <c r="B17" s="2643"/>
      <c r="C17" s="2630"/>
      <c r="D17" s="2646"/>
      <c r="E17" s="2646"/>
      <c r="F17" s="2646"/>
      <c r="G17" s="2646"/>
      <c r="H17" s="2631"/>
      <c r="I17" s="2649"/>
      <c r="J17" s="49" t="s">
        <v>5</v>
      </c>
      <c r="K17" s="2626" t="s">
        <v>12</v>
      </c>
      <c r="L17" s="2627"/>
      <c r="M17" s="2626" t="s">
        <v>19</v>
      </c>
      <c r="N17" s="2627"/>
      <c r="O17" s="2626" t="s">
        <v>25</v>
      </c>
      <c r="P17" s="2627"/>
      <c r="Q17" s="2630"/>
      <c r="R17" s="2631"/>
      <c r="S17" s="2630"/>
      <c r="T17" s="2631"/>
      <c r="U17" s="2630"/>
      <c r="V17" s="2631"/>
      <c r="W17" s="2630"/>
      <c r="X17" s="2631"/>
      <c r="Y17" s="2626" t="s">
        <v>38</v>
      </c>
      <c r="Z17" s="2627"/>
      <c r="AA17" s="2626" t="s">
        <v>43</v>
      </c>
      <c r="AB17" s="2627"/>
      <c r="AC17" s="2626" t="s">
        <v>47</v>
      </c>
      <c r="AD17" s="2627"/>
      <c r="AE17" s="49" t="s">
        <v>50</v>
      </c>
    </row>
    <row r="18" spans="1:31">
      <c r="A18" s="2643"/>
      <c r="B18" s="2643"/>
      <c r="C18" s="2630"/>
      <c r="D18" s="2646"/>
      <c r="E18" s="2646"/>
      <c r="F18" s="2646"/>
      <c r="G18" s="2646"/>
      <c r="H18" s="2631"/>
      <c r="I18" s="2649"/>
      <c r="J18" s="49" t="s">
        <v>6</v>
      </c>
      <c r="K18" s="2626" t="s">
        <v>8</v>
      </c>
      <c r="L18" s="2627"/>
      <c r="M18" s="2626" t="s">
        <v>8</v>
      </c>
      <c r="N18" s="2627"/>
      <c r="O18" s="2626" t="s">
        <v>76</v>
      </c>
      <c r="P18" s="2627"/>
      <c r="Q18" s="2630"/>
      <c r="R18" s="2631"/>
      <c r="S18" s="2630"/>
      <c r="T18" s="2631"/>
      <c r="U18" s="2630"/>
      <c r="V18" s="2631"/>
      <c r="W18" s="2630"/>
      <c r="X18" s="2631"/>
      <c r="Y18" s="2630"/>
      <c r="Z18" s="2631"/>
      <c r="AA18" s="2626" t="s">
        <v>44</v>
      </c>
      <c r="AB18" s="2627"/>
      <c r="AC18" s="48"/>
      <c r="AD18" s="47"/>
      <c r="AE18" s="45"/>
    </row>
    <row r="19" spans="1:31">
      <c r="A19" s="2643"/>
      <c r="B19" s="2643"/>
      <c r="C19" s="2630"/>
      <c r="D19" s="2646"/>
      <c r="E19" s="2646"/>
      <c r="F19" s="2646"/>
      <c r="G19" s="2646"/>
      <c r="H19" s="2631"/>
      <c r="I19" s="2649"/>
      <c r="J19" s="45"/>
      <c r="K19" s="2626" t="s">
        <v>13</v>
      </c>
      <c r="L19" s="2627"/>
      <c r="M19" s="2626" t="s">
        <v>17</v>
      </c>
      <c r="N19" s="2627"/>
      <c r="O19" s="2626" t="s">
        <v>26</v>
      </c>
      <c r="P19" s="2627"/>
      <c r="Q19" s="2630"/>
      <c r="R19" s="2631"/>
      <c r="S19" s="2630"/>
      <c r="T19" s="2631"/>
      <c r="U19" s="2630"/>
      <c r="V19" s="2631"/>
      <c r="W19" s="2630"/>
      <c r="X19" s="2631"/>
      <c r="Y19" s="2630"/>
      <c r="Z19" s="2631"/>
      <c r="AA19" s="2626" t="s">
        <v>74</v>
      </c>
      <c r="AB19" s="2627"/>
      <c r="AC19" s="48"/>
      <c r="AD19" s="47"/>
      <c r="AE19" s="45"/>
    </row>
    <row r="20" spans="1:31">
      <c r="A20" s="2643"/>
      <c r="B20" s="2643"/>
      <c r="C20" s="2630"/>
      <c r="D20" s="2646"/>
      <c r="E20" s="2646"/>
      <c r="F20" s="2646"/>
      <c r="G20" s="2646"/>
      <c r="H20" s="2631"/>
      <c r="I20" s="2649"/>
      <c r="J20" s="45"/>
      <c r="K20" s="2626"/>
      <c r="L20" s="2627"/>
      <c r="M20" s="2626" t="s">
        <v>20</v>
      </c>
      <c r="N20" s="2627"/>
      <c r="O20" s="2626" t="s">
        <v>27</v>
      </c>
      <c r="P20" s="2627"/>
      <c r="Q20" s="2630"/>
      <c r="R20" s="2631"/>
      <c r="S20" s="2630"/>
      <c r="T20" s="2631"/>
      <c r="U20" s="2630"/>
      <c r="V20" s="2631"/>
      <c r="W20" s="2630"/>
      <c r="X20" s="2631"/>
      <c r="Y20" s="2630"/>
      <c r="Z20" s="2631"/>
      <c r="AA20" s="48"/>
      <c r="AB20" s="47"/>
      <c r="AC20" s="48"/>
      <c r="AD20" s="47"/>
      <c r="AE20" s="45"/>
    </row>
    <row r="21" spans="1:31">
      <c r="A21" s="2644"/>
      <c r="B21" s="2644"/>
      <c r="C21" s="2632"/>
      <c r="D21" s="2647"/>
      <c r="E21" s="2647"/>
      <c r="F21" s="2647"/>
      <c r="G21" s="2647"/>
      <c r="H21" s="2633"/>
      <c r="I21" s="2650"/>
      <c r="J21" s="50"/>
      <c r="K21" s="2621"/>
      <c r="L21" s="2622"/>
      <c r="M21" s="2621">
        <v>-2017</v>
      </c>
      <c r="N21" s="2622"/>
      <c r="O21" s="2621"/>
      <c r="P21" s="2622"/>
      <c r="Q21" s="2632"/>
      <c r="R21" s="2633"/>
      <c r="S21" s="2632"/>
      <c r="T21" s="2633"/>
      <c r="U21" s="2632"/>
      <c r="V21" s="2633"/>
      <c r="W21" s="2632"/>
      <c r="X21" s="2633"/>
      <c r="Y21" s="2632"/>
      <c r="Z21" s="2633"/>
      <c r="AA21" s="51"/>
      <c r="AB21" s="52"/>
      <c r="AC21" s="51"/>
      <c r="AD21" s="52"/>
      <c r="AE21" s="50"/>
    </row>
    <row r="22" spans="1:31" ht="18.75" customHeight="1">
      <c r="A22" s="2642">
        <v>1</v>
      </c>
      <c r="B22" s="2642">
        <v>2</v>
      </c>
      <c r="C22" s="2628">
        <v>3</v>
      </c>
      <c r="D22" s="2645"/>
      <c r="E22" s="2645"/>
      <c r="F22" s="2645"/>
      <c r="G22" s="2645"/>
      <c r="H22" s="2629"/>
      <c r="I22" s="2642">
        <v>4</v>
      </c>
      <c r="J22" s="2642">
        <v>5</v>
      </c>
      <c r="K22" s="2619">
        <v>6</v>
      </c>
      <c r="L22" s="2620"/>
      <c r="M22" s="2619">
        <v>7</v>
      </c>
      <c r="N22" s="2620"/>
      <c r="O22" s="2619">
        <v>8</v>
      </c>
      <c r="P22" s="2620"/>
      <c r="Q22" s="2619">
        <v>9</v>
      </c>
      <c r="R22" s="2620"/>
      <c r="S22" s="2619">
        <v>10</v>
      </c>
      <c r="T22" s="2620"/>
      <c r="U22" s="2619">
        <v>11</v>
      </c>
      <c r="V22" s="2620"/>
      <c r="W22" s="2619">
        <v>12</v>
      </c>
      <c r="X22" s="2620"/>
      <c r="Y22" s="2619">
        <v>13</v>
      </c>
      <c r="Z22" s="2620"/>
      <c r="AA22" s="2619" t="s">
        <v>61</v>
      </c>
      <c r="AB22" s="2620"/>
      <c r="AC22" s="2619" t="s">
        <v>62</v>
      </c>
      <c r="AD22" s="2620"/>
      <c r="AE22" s="2624">
        <v>16</v>
      </c>
    </row>
    <row r="23" spans="1:31">
      <c r="A23" s="2644"/>
      <c r="B23" s="2644"/>
      <c r="C23" s="2632"/>
      <c r="D23" s="2647"/>
      <c r="E23" s="2647"/>
      <c r="F23" s="2647"/>
      <c r="G23" s="2647"/>
      <c r="H23" s="2633"/>
      <c r="I23" s="2644"/>
      <c r="J23" s="2644"/>
      <c r="K23" s="53" t="s">
        <v>51</v>
      </c>
      <c r="L23" s="53" t="s">
        <v>72</v>
      </c>
      <c r="M23" s="53" t="s">
        <v>51</v>
      </c>
      <c r="N23" s="53" t="s">
        <v>72</v>
      </c>
      <c r="O23" s="53" t="s">
        <v>51</v>
      </c>
      <c r="P23" s="53" t="s">
        <v>72</v>
      </c>
      <c r="Q23" s="53" t="s">
        <v>51</v>
      </c>
      <c r="R23" s="53" t="s">
        <v>72</v>
      </c>
      <c r="S23" s="53" t="s">
        <v>51</v>
      </c>
      <c r="T23" s="53" t="s">
        <v>72</v>
      </c>
      <c r="U23" s="53" t="s">
        <v>51</v>
      </c>
      <c r="V23" s="53" t="s">
        <v>72</v>
      </c>
      <c r="W23" s="53" t="s">
        <v>51</v>
      </c>
      <c r="X23" s="53" t="s">
        <v>72</v>
      </c>
      <c r="Y23" s="53" t="s">
        <v>51</v>
      </c>
      <c r="Z23" s="53" t="s">
        <v>72</v>
      </c>
      <c r="AA23" s="53" t="s">
        <v>51</v>
      </c>
      <c r="AB23" s="53" t="s">
        <v>72</v>
      </c>
      <c r="AC23" s="53" t="s">
        <v>51</v>
      </c>
      <c r="AD23" s="53" t="s">
        <v>81</v>
      </c>
      <c r="AE23" s="2625"/>
    </row>
    <row r="24" spans="1:31" hidden="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idden="1">
      <c r="A25" s="1"/>
      <c r="B25" s="1" t="s">
        <v>77</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ht="19.5" hidden="1" customHeight="1">
      <c r="A26" s="1"/>
      <c r="B26" s="1" t="s">
        <v>78</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19.5" hidden="1" customHeight="1">
      <c r="A27" s="1"/>
      <c r="B27" s="1" t="s">
        <v>79</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ht="22.5" hidden="1" customHeight="1">
      <c r="A28" s="1"/>
      <c r="B28" s="1" t="s">
        <v>80</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s="6" customFormat="1" ht="105">
      <c r="A29" s="23">
        <v>1</v>
      </c>
      <c r="B29" s="23"/>
      <c r="C29" s="34">
        <v>3</v>
      </c>
      <c r="D29" s="34" t="s">
        <v>107</v>
      </c>
      <c r="E29" s="34" t="s">
        <v>65</v>
      </c>
      <c r="F29" s="34" t="s">
        <v>66</v>
      </c>
      <c r="G29" s="34" t="s">
        <v>67</v>
      </c>
      <c r="H29" s="23"/>
      <c r="I29" s="25" t="s">
        <v>73</v>
      </c>
      <c r="J29" s="26" t="s">
        <v>70</v>
      </c>
      <c r="K29" s="24">
        <v>36</v>
      </c>
      <c r="L29" s="27">
        <f>SUM(L30:L33)</f>
        <v>2064474</v>
      </c>
      <c r="M29" s="24">
        <v>12</v>
      </c>
      <c r="N29" s="27">
        <f>SUM(N30:N33)</f>
        <v>487810</v>
      </c>
      <c r="O29" s="24">
        <v>6</v>
      </c>
      <c r="P29" s="27">
        <f>SUM(P30:P33)</f>
        <v>824756</v>
      </c>
      <c r="Q29" s="24">
        <v>0</v>
      </c>
      <c r="R29" s="28">
        <f>SUM(R30:R33)</f>
        <v>65729</v>
      </c>
      <c r="S29" s="24"/>
      <c r="T29" s="24"/>
      <c r="U29" s="24"/>
      <c r="V29" s="24"/>
      <c r="W29" s="24"/>
      <c r="X29" s="24"/>
      <c r="Y29" s="24">
        <f>Q29+S29+U29+W29</f>
        <v>0</v>
      </c>
      <c r="Z29" s="28">
        <f>SUM(Z30:Z33)</f>
        <v>65729</v>
      </c>
      <c r="AA29" s="24">
        <f>M29+Y29</f>
        <v>12</v>
      </c>
      <c r="AB29" s="27">
        <f>SUM(AB30:AB33)</f>
        <v>553539</v>
      </c>
      <c r="AC29" s="29">
        <f>(AA29/K29)*100</f>
        <v>33.333333333333329</v>
      </c>
      <c r="AD29" s="29">
        <f t="shared" ref="AD29:AD30" si="0">(AB29/L29)*100</f>
        <v>26.812592456964822</v>
      </c>
      <c r="AE29" s="24" t="s">
        <v>82</v>
      </c>
    </row>
    <row r="30" spans="1:31" s="6" customFormat="1" ht="75">
      <c r="A30" s="8"/>
      <c r="B30" s="38" t="s">
        <v>78</v>
      </c>
      <c r="C30" s="35">
        <v>3</v>
      </c>
      <c r="D30" s="35" t="s">
        <v>107</v>
      </c>
      <c r="E30" s="36" t="s">
        <v>65</v>
      </c>
      <c r="F30" s="35" t="s">
        <v>66</v>
      </c>
      <c r="G30" s="35" t="s">
        <v>67</v>
      </c>
      <c r="H30" s="35" t="s">
        <v>68</v>
      </c>
      <c r="I30" s="10" t="s">
        <v>69</v>
      </c>
      <c r="J30" s="10" t="s">
        <v>84</v>
      </c>
      <c r="K30" s="8">
        <v>1</v>
      </c>
      <c r="L30" s="11">
        <f>6*104079</f>
        <v>624474</v>
      </c>
      <c r="M30" s="9">
        <v>0</v>
      </c>
      <c r="N30" s="9">
        <v>0</v>
      </c>
      <c r="O30" s="8">
        <v>1</v>
      </c>
      <c r="P30" s="12">
        <f>L30</f>
        <v>624474</v>
      </c>
      <c r="Q30" s="9">
        <v>0</v>
      </c>
      <c r="R30" s="11">
        <v>5000</v>
      </c>
      <c r="S30" s="8"/>
      <c r="T30" s="8"/>
      <c r="U30" s="8"/>
      <c r="V30" s="8"/>
      <c r="W30" s="8"/>
      <c r="X30" s="8"/>
      <c r="Y30" s="8">
        <f>Q30+S30+U30+W30</f>
        <v>0</v>
      </c>
      <c r="Z30" s="11">
        <f>R30+T30+V30+X30</f>
        <v>5000</v>
      </c>
      <c r="AA30" s="8">
        <f>M30+Y30</f>
        <v>0</v>
      </c>
      <c r="AB30" s="11">
        <f>N30+Z30</f>
        <v>5000</v>
      </c>
      <c r="AC30" s="13">
        <f>(AA30/K30)*100</f>
        <v>0</v>
      </c>
      <c r="AD30" s="14">
        <f t="shared" si="0"/>
        <v>0.80067384710972755</v>
      </c>
      <c r="AE30" s="8" t="s">
        <v>82</v>
      </c>
    </row>
    <row r="31" spans="1:31" s="7" customFormat="1" ht="75">
      <c r="A31" s="15"/>
      <c r="B31" s="39" t="s">
        <v>78</v>
      </c>
      <c r="C31" s="35">
        <v>3</v>
      </c>
      <c r="D31" s="35" t="s">
        <v>107</v>
      </c>
      <c r="E31" s="36" t="s">
        <v>65</v>
      </c>
      <c r="F31" s="35" t="s">
        <v>66</v>
      </c>
      <c r="G31" s="35" t="s">
        <v>67</v>
      </c>
      <c r="H31" s="35">
        <v>42</v>
      </c>
      <c r="I31" s="15" t="s">
        <v>83</v>
      </c>
      <c r="J31" s="15" t="s">
        <v>86</v>
      </c>
      <c r="K31" s="15">
        <v>24</v>
      </c>
      <c r="L31" s="16">
        <f>6*75000</f>
        <v>450000</v>
      </c>
      <c r="M31" s="15">
        <v>8</v>
      </c>
      <c r="N31" s="16">
        <f>64810+98000</f>
        <v>162810</v>
      </c>
      <c r="O31" s="15">
        <v>4</v>
      </c>
      <c r="P31" s="16">
        <v>64810</v>
      </c>
      <c r="Q31" s="15">
        <v>1</v>
      </c>
      <c r="R31" s="16">
        <v>25875</v>
      </c>
      <c r="S31" s="15"/>
      <c r="T31" s="15"/>
      <c r="U31" s="15"/>
      <c r="V31" s="15"/>
      <c r="W31" s="15"/>
      <c r="X31" s="15"/>
      <c r="Y31" s="16">
        <f>Q31+S31+U31+W31</f>
        <v>1</v>
      </c>
      <c r="Z31" s="16">
        <f>R31+T31+V31+X31</f>
        <v>25875</v>
      </c>
      <c r="AA31" s="16">
        <f>M31+Y31</f>
        <v>9</v>
      </c>
      <c r="AB31" s="16">
        <f>N31+Z31</f>
        <v>188685</v>
      </c>
      <c r="AC31" s="17">
        <f>(AA31/K31)*100</f>
        <v>37.5</v>
      </c>
      <c r="AD31" s="17">
        <f>(AB31/L31)*100</f>
        <v>41.93</v>
      </c>
      <c r="AE31" s="18" t="s">
        <v>82</v>
      </c>
    </row>
    <row r="32" spans="1:31" s="6" customFormat="1" ht="120">
      <c r="A32" s="18"/>
      <c r="B32" s="15" t="s">
        <v>79</v>
      </c>
      <c r="C32" s="35">
        <v>3</v>
      </c>
      <c r="D32" s="35" t="s">
        <v>107</v>
      </c>
      <c r="E32" s="36" t="s">
        <v>65</v>
      </c>
      <c r="F32" s="35" t="s">
        <v>66</v>
      </c>
      <c r="G32" s="35" t="s">
        <v>67</v>
      </c>
      <c r="H32" s="35">
        <v>13</v>
      </c>
      <c r="I32" s="15" t="s">
        <v>85</v>
      </c>
      <c r="J32" s="15" t="s">
        <v>87</v>
      </c>
      <c r="K32" s="15">
        <v>24</v>
      </c>
      <c r="L32" s="16">
        <f>6*85000</f>
        <v>510000</v>
      </c>
      <c r="M32" s="15">
        <v>8</v>
      </c>
      <c r="N32" s="16">
        <f>165000</f>
        <v>165000</v>
      </c>
      <c r="O32" s="15">
        <v>4</v>
      </c>
      <c r="P32" s="16">
        <v>70780</v>
      </c>
      <c r="Q32" s="15">
        <v>1</v>
      </c>
      <c r="R32" s="16">
        <v>15954</v>
      </c>
      <c r="S32" s="15"/>
      <c r="T32" s="15"/>
      <c r="U32" s="15"/>
      <c r="V32" s="15"/>
      <c r="W32" s="15"/>
      <c r="X32" s="15"/>
      <c r="Y32" s="15">
        <f>Q32+S32+U32+W32</f>
        <v>1</v>
      </c>
      <c r="Z32" s="16">
        <f>R32+T32+V32+X32</f>
        <v>15954</v>
      </c>
      <c r="AA32" s="15">
        <f>M32+Y32</f>
        <v>9</v>
      </c>
      <c r="AB32" s="16">
        <f>N32+Z32</f>
        <v>180954</v>
      </c>
      <c r="AC32" s="19">
        <f>(AA32/K32)*100</f>
        <v>37.5</v>
      </c>
      <c r="AD32" s="19">
        <f>(AB32/L32)*100</f>
        <v>35.481176470588231</v>
      </c>
      <c r="AE32" s="18" t="s">
        <v>82</v>
      </c>
    </row>
    <row r="33" spans="1:31" s="6" customFormat="1" ht="75">
      <c r="A33" s="18"/>
      <c r="B33" s="39" t="s">
        <v>78</v>
      </c>
      <c r="C33" s="35">
        <v>3</v>
      </c>
      <c r="D33" s="35" t="s">
        <v>107</v>
      </c>
      <c r="E33" s="36" t="s">
        <v>65</v>
      </c>
      <c r="F33" s="35" t="s">
        <v>66</v>
      </c>
      <c r="G33" s="35" t="s">
        <v>67</v>
      </c>
      <c r="H33" s="35" t="s">
        <v>93</v>
      </c>
      <c r="I33" s="15" t="s">
        <v>88</v>
      </c>
      <c r="J33" s="15" t="s">
        <v>97</v>
      </c>
      <c r="K33" s="15">
        <v>6</v>
      </c>
      <c r="L33" s="16">
        <f>6*80000</f>
        <v>480000</v>
      </c>
      <c r="M33" s="15">
        <v>2</v>
      </c>
      <c r="N33" s="16">
        <f>2*80000</f>
        <v>160000</v>
      </c>
      <c r="O33" s="15">
        <v>1</v>
      </c>
      <c r="P33" s="16">
        <v>64692</v>
      </c>
      <c r="Q33" s="15">
        <v>0</v>
      </c>
      <c r="R33" s="16">
        <v>18900</v>
      </c>
      <c r="S33" s="15"/>
      <c r="T33" s="15"/>
      <c r="U33" s="15"/>
      <c r="V33" s="15"/>
      <c r="W33" s="15"/>
      <c r="X33" s="15"/>
      <c r="Y33" s="15">
        <f>Q33+S33+U33+W33</f>
        <v>0</v>
      </c>
      <c r="Z33" s="16">
        <f>R33+T33+V33+X33</f>
        <v>18900</v>
      </c>
      <c r="AA33" s="15">
        <f>M33+Y33</f>
        <v>2</v>
      </c>
      <c r="AB33" s="16">
        <f>N33+Z33</f>
        <v>178900</v>
      </c>
      <c r="AC33" s="19">
        <f>(AA33/K33)*100</f>
        <v>33.333333333333329</v>
      </c>
      <c r="AD33" s="19">
        <f>(AB33/L33)*100</f>
        <v>37.270833333333329</v>
      </c>
      <c r="AE33" s="18" t="s">
        <v>82</v>
      </c>
    </row>
    <row r="34" spans="1:31" s="6" customFormat="1">
      <c r="A34" s="2572" t="s">
        <v>89</v>
      </c>
      <c r="B34" s="2572"/>
      <c r="C34" s="2637"/>
      <c r="D34" s="2637"/>
      <c r="E34" s="2637"/>
      <c r="F34" s="2637"/>
      <c r="G34" s="2637"/>
      <c r="H34" s="2637"/>
      <c r="I34" s="2637"/>
      <c r="J34" s="2637"/>
      <c r="K34" s="2637"/>
      <c r="L34" s="2637"/>
      <c r="M34" s="2637"/>
      <c r="N34" s="2637"/>
      <c r="O34" s="2637"/>
      <c r="P34" s="2637"/>
      <c r="Q34" s="2637"/>
      <c r="R34" s="2637"/>
      <c r="S34" s="2637"/>
      <c r="T34" s="2637"/>
      <c r="U34" s="2637"/>
      <c r="V34" s="2637"/>
      <c r="W34" s="2637"/>
      <c r="X34" s="2637"/>
      <c r="Y34" s="2637"/>
      <c r="Z34" s="2637"/>
      <c r="AA34" s="2637"/>
      <c r="AB34" s="2637"/>
      <c r="AC34" s="20">
        <f>AVERAGE(AC30:AC33)</f>
        <v>27.083333333333332</v>
      </c>
      <c r="AD34" s="20">
        <f>AD29</f>
        <v>26.812592456964822</v>
      </c>
      <c r="AE34" s="21"/>
    </row>
    <row r="35" spans="1:31" s="6" customFormat="1">
      <c r="A35" s="2572" t="s">
        <v>90</v>
      </c>
      <c r="B35" s="2572"/>
      <c r="C35" s="2637"/>
      <c r="D35" s="2637"/>
      <c r="E35" s="2637"/>
      <c r="F35" s="2637"/>
      <c r="G35" s="2637"/>
      <c r="H35" s="2637"/>
      <c r="I35" s="2637"/>
      <c r="J35" s="2637"/>
      <c r="K35" s="2637"/>
      <c r="L35" s="2637"/>
      <c r="M35" s="2637"/>
      <c r="N35" s="2637"/>
      <c r="O35" s="2637"/>
      <c r="P35" s="2637"/>
      <c r="Q35" s="2637"/>
      <c r="R35" s="2637"/>
      <c r="S35" s="2637"/>
      <c r="T35" s="2637"/>
      <c r="U35" s="2637"/>
      <c r="V35" s="2637"/>
      <c r="W35" s="2637"/>
      <c r="X35" s="2637"/>
      <c r="Y35" s="2637"/>
      <c r="Z35" s="2637"/>
      <c r="AA35" s="2637"/>
      <c r="AB35" s="2637"/>
      <c r="AC35" s="22" t="str">
        <f>IF(AC34&gt;=45,"ST",IF(AC34&gt;=38,"T",IF(AC34&gt;=32,"S",IF(AC34&gt;=25,"R","SR"))))</f>
        <v>R</v>
      </c>
      <c r="AD35" s="22" t="str">
        <f>IF(AD34&gt;=45,"ST",IF(AD34&gt;=38,"T",IF(AD34&gt;=32,"S",IF(AD34&gt;=25,"R","SR"))))</f>
        <v>R</v>
      </c>
      <c r="AE35" s="21"/>
    </row>
    <row r="36" spans="1:31" s="6" customFormat="1">
      <c r="A36" s="2634"/>
      <c r="B36" s="2635"/>
      <c r="C36" s="2635"/>
      <c r="D36" s="2635"/>
      <c r="E36" s="2635"/>
      <c r="F36" s="2635"/>
      <c r="G36" s="2635"/>
      <c r="H36" s="2635"/>
      <c r="I36" s="2635"/>
      <c r="J36" s="2635"/>
      <c r="K36" s="2635"/>
      <c r="L36" s="2635"/>
      <c r="M36" s="2635"/>
      <c r="N36" s="2635"/>
      <c r="O36" s="2635"/>
      <c r="P36" s="2635"/>
      <c r="Q36" s="2635"/>
      <c r="R36" s="2635"/>
      <c r="S36" s="2635"/>
      <c r="T36" s="2635"/>
      <c r="U36" s="2635"/>
      <c r="V36" s="2635"/>
      <c r="W36" s="2635"/>
      <c r="X36" s="2635"/>
      <c r="Y36" s="2635"/>
      <c r="Z36" s="2635"/>
      <c r="AA36" s="2635"/>
      <c r="AB36" s="2635"/>
      <c r="AC36" s="2635"/>
      <c r="AD36" s="2635"/>
      <c r="AE36" s="2636"/>
    </row>
    <row r="37" spans="1:31" s="6" customFormat="1" ht="90">
      <c r="A37" s="23">
        <v>2</v>
      </c>
      <c r="B37" s="23"/>
      <c r="C37" s="34">
        <v>3</v>
      </c>
      <c r="D37" s="34" t="s">
        <v>107</v>
      </c>
      <c r="E37" s="34" t="s">
        <v>65</v>
      </c>
      <c r="F37" s="34" t="s">
        <v>66</v>
      </c>
      <c r="G37" s="34">
        <v>26</v>
      </c>
      <c r="H37" s="23"/>
      <c r="I37" s="25" t="s">
        <v>94</v>
      </c>
      <c r="J37" s="26" t="s">
        <v>98</v>
      </c>
      <c r="K37" s="24">
        <v>50</v>
      </c>
      <c r="L37" s="27">
        <f>6*400000</f>
        <v>2400000</v>
      </c>
      <c r="M37" s="24">
        <v>35</v>
      </c>
      <c r="N37" s="27">
        <f>700000+350000</f>
        <v>1050000</v>
      </c>
      <c r="O37" s="24">
        <v>40</v>
      </c>
      <c r="P37" s="27">
        <v>198670</v>
      </c>
      <c r="Q37" s="24">
        <v>12</v>
      </c>
      <c r="R37" s="28">
        <v>49700</v>
      </c>
      <c r="S37" s="24"/>
      <c r="T37" s="24"/>
      <c r="U37" s="24"/>
      <c r="V37" s="24"/>
      <c r="W37" s="24"/>
      <c r="X37" s="24"/>
      <c r="Y37" s="24">
        <f>Q37+S37+U37+W37</f>
        <v>12</v>
      </c>
      <c r="Z37" s="28">
        <f>SUM(Z38:Z41)</f>
        <v>49700</v>
      </c>
      <c r="AA37" s="24">
        <f>M37+Y37</f>
        <v>47</v>
      </c>
      <c r="AB37" s="27">
        <f>SUM(AB38)</f>
        <v>49700</v>
      </c>
      <c r="AC37" s="29">
        <f>(AA37/K37)*100</f>
        <v>94</v>
      </c>
      <c r="AD37" s="29">
        <f t="shared" ref="AD37:AD38" si="1">(AB37/L37)*100</f>
        <v>2.0708333333333333</v>
      </c>
      <c r="AE37" s="24" t="s">
        <v>82</v>
      </c>
    </row>
    <row r="38" spans="1:31" s="6" customFormat="1" ht="75">
      <c r="A38" s="8"/>
      <c r="B38" s="37" t="s">
        <v>77</v>
      </c>
      <c r="C38" s="35">
        <v>3</v>
      </c>
      <c r="D38" s="35" t="s">
        <v>107</v>
      </c>
      <c r="E38" s="36" t="s">
        <v>65</v>
      </c>
      <c r="F38" s="35" t="s">
        <v>66</v>
      </c>
      <c r="G38" s="35">
        <v>26</v>
      </c>
      <c r="H38" s="35" t="s">
        <v>95</v>
      </c>
      <c r="I38" s="10" t="s">
        <v>96</v>
      </c>
      <c r="J38" s="10" t="s">
        <v>99</v>
      </c>
      <c r="K38" s="8">
        <v>1</v>
      </c>
      <c r="L38" s="11">
        <f>6*104079</f>
        <v>624474</v>
      </c>
      <c r="M38" s="9">
        <v>0</v>
      </c>
      <c r="N38" s="9">
        <v>0</v>
      </c>
      <c r="O38" s="8">
        <v>1</v>
      </c>
      <c r="P38" s="12">
        <f>L38</f>
        <v>624474</v>
      </c>
      <c r="Q38" s="9">
        <v>0</v>
      </c>
      <c r="R38" s="11">
        <v>49700</v>
      </c>
      <c r="S38" s="8"/>
      <c r="T38" s="8"/>
      <c r="U38" s="8"/>
      <c r="V38" s="8"/>
      <c r="W38" s="8"/>
      <c r="X38" s="8"/>
      <c r="Y38" s="8">
        <f>Q38+S38+U38+W38</f>
        <v>0</v>
      </c>
      <c r="Z38" s="11">
        <f>R38+T38+V38+X38</f>
        <v>49700</v>
      </c>
      <c r="AA38" s="8">
        <f>M38+Y38</f>
        <v>0</v>
      </c>
      <c r="AB38" s="11">
        <f>N38+Z38</f>
        <v>49700</v>
      </c>
      <c r="AC38" s="13">
        <f>(AA38/K38)*100</f>
        <v>0</v>
      </c>
      <c r="AD38" s="14">
        <f t="shared" si="1"/>
        <v>7.9586980402706926</v>
      </c>
      <c r="AE38" s="8" t="s">
        <v>82</v>
      </c>
    </row>
    <row r="39" spans="1:31">
      <c r="A39" s="2572" t="s">
        <v>89</v>
      </c>
      <c r="B39" s="2572"/>
      <c r="C39" s="2637"/>
      <c r="D39" s="2637"/>
      <c r="E39" s="2637"/>
      <c r="F39" s="2637"/>
      <c r="G39" s="2637"/>
      <c r="H39" s="2637"/>
      <c r="I39" s="2637"/>
      <c r="J39" s="2637"/>
      <c r="K39" s="2637"/>
      <c r="L39" s="2637"/>
      <c r="M39" s="2637"/>
      <c r="N39" s="2637"/>
      <c r="O39" s="2637"/>
      <c r="P39" s="2637"/>
      <c r="Q39" s="2637"/>
      <c r="R39" s="2637"/>
      <c r="S39" s="2637"/>
      <c r="T39" s="2637"/>
      <c r="U39" s="2637"/>
      <c r="V39" s="2637"/>
      <c r="W39" s="2637"/>
      <c r="X39" s="2637"/>
      <c r="Y39" s="2637"/>
      <c r="Z39" s="2637"/>
      <c r="AA39" s="2637"/>
      <c r="AB39" s="2637"/>
      <c r="AC39" s="20">
        <f>AVERAGE(AC38)</f>
        <v>0</v>
      </c>
      <c r="AD39" s="20">
        <f>AD37</f>
        <v>2.0708333333333333</v>
      </c>
      <c r="AE39" s="21"/>
    </row>
    <row r="40" spans="1:31">
      <c r="A40" s="2572" t="s">
        <v>90</v>
      </c>
      <c r="B40" s="2572"/>
      <c r="C40" s="2637"/>
      <c r="D40" s="2637"/>
      <c r="E40" s="2637"/>
      <c r="F40" s="2637"/>
      <c r="G40" s="2637"/>
      <c r="H40" s="2637"/>
      <c r="I40" s="2637"/>
      <c r="J40" s="2637"/>
      <c r="K40" s="2637"/>
      <c r="L40" s="2637"/>
      <c r="M40" s="2637"/>
      <c r="N40" s="2637"/>
      <c r="O40" s="2637"/>
      <c r="P40" s="2637"/>
      <c r="Q40" s="2637"/>
      <c r="R40" s="2637"/>
      <c r="S40" s="2637"/>
      <c r="T40" s="2637"/>
      <c r="U40" s="2637"/>
      <c r="V40" s="2637"/>
      <c r="W40" s="2637"/>
      <c r="X40" s="2637"/>
      <c r="Y40" s="2637"/>
      <c r="Z40" s="2637"/>
      <c r="AA40" s="2637"/>
      <c r="AB40" s="2637"/>
      <c r="AC40" s="22" t="str">
        <f>IF(AC39&gt;=45,"ST",IF(AC39&gt;=38,"T",IF(AC39&gt;=32,"S",IF(AC39&gt;=25,"R","SR"))))</f>
        <v>SR</v>
      </c>
      <c r="AD40" s="22" t="str">
        <f>IF(AD39&gt;=45,"ST",IF(AD39&gt;=38,"T",IF(AD39&gt;=32,"S",IF(AD39&gt;=25,"R","SR"))))</f>
        <v>SR</v>
      </c>
      <c r="AE40" s="21"/>
    </row>
    <row r="41" spans="1:31" ht="17.25">
      <c r="A41" s="2574" t="s">
        <v>100</v>
      </c>
      <c r="B41" s="2574"/>
      <c r="C41" s="2574"/>
      <c r="D41" s="2574"/>
      <c r="E41" s="2574"/>
      <c r="F41" s="2574"/>
      <c r="G41" s="2574"/>
      <c r="H41" s="2574"/>
      <c r="I41" s="2574"/>
      <c r="J41" s="2574"/>
      <c r="K41" s="2574"/>
      <c r="L41" s="2574"/>
      <c r="M41" s="2574"/>
      <c r="N41" s="2574"/>
      <c r="O41" s="2574"/>
      <c r="P41" s="30">
        <f>P29+P37</f>
        <v>1023426</v>
      </c>
      <c r="Q41" s="2638"/>
      <c r="R41" s="2638"/>
      <c r="S41" s="2638"/>
      <c r="T41" s="2638"/>
      <c r="U41" s="2638"/>
      <c r="V41" s="2638"/>
      <c r="W41" s="2638"/>
      <c r="X41" s="2638"/>
      <c r="Y41" s="2638"/>
      <c r="Z41" s="2638"/>
      <c r="AA41" s="2638"/>
      <c r="AB41" s="30">
        <f>AB29+AB37</f>
        <v>603239</v>
      </c>
      <c r="AC41" s="31"/>
      <c r="AD41" s="31"/>
      <c r="AE41" s="31"/>
    </row>
    <row r="42" spans="1:31">
      <c r="A42" s="2574" t="s">
        <v>101</v>
      </c>
      <c r="B42" s="2574"/>
      <c r="C42" s="2574"/>
      <c r="D42" s="2574"/>
      <c r="E42" s="2574"/>
      <c r="F42" s="2574"/>
      <c r="G42" s="2574"/>
      <c r="H42" s="2574"/>
      <c r="I42" s="2574"/>
      <c r="J42" s="2574"/>
      <c r="K42" s="2574"/>
      <c r="L42" s="2574"/>
      <c r="M42" s="2574"/>
      <c r="N42" s="2574"/>
      <c r="O42" s="2574"/>
      <c r="P42" s="2574"/>
      <c r="Q42" s="2574"/>
      <c r="R42" s="2574"/>
      <c r="S42" s="2574"/>
      <c r="T42" s="2574"/>
      <c r="U42" s="2574"/>
      <c r="V42" s="2574"/>
      <c r="W42" s="2574"/>
      <c r="X42" s="2574"/>
      <c r="Y42" s="2574"/>
      <c r="Z42" s="2574"/>
      <c r="AA42" s="2574"/>
      <c r="AB42" s="2574"/>
      <c r="AC42" s="32">
        <f>AVERAGE(AD30:AD33,AD38)</f>
        <v>24.688276338260394</v>
      </c>
      <c r="AD42" s="32">
        <f>(AB41/P41)*100</f>
        <v>58.94309896367691</v>
      </c>
      <c r="AE42" s="31"/>
    </row>
    <row r="43" spans="1:31">
      <c r="A43" s="2574" t="s">
        <v>102</v>
      </c>
      <c r="B43" s="2574"/>
      <c r="C43" s="2574"/>
      <c r="D43" s="2574"/>
      <c r="E43" s="2574"/>
      <c r="F43" s="2574"/>
      <c r="G43" s="2574"/>
      <c r="H43" s="2574"/>
      <c r="I43" s="2574"/>
      <c r="J43" s="2574"/>
      <c r="K43" s="2574"/>
      <c r="L43" s="2574"/>
      <c r="M43" s="2574"/>
      <c r="N43" s="2574"/>
      <c r="O43" s="2574"/>
      <c r="P43" s="2574"/>
      <c r="Q43" s="2574"/>
      <c r="R43" s="2574"/>
      <c r="S43" s="2574"/>
      <c r="T43" s="2574"/>
      <c r="U43" s="2574"/>
      <c r="V43" s="2574"/>
      <c r="W43" s="2574"/>
      <c r="X43" s="2574"/>
      <c r="Y43" s="2574"/>
      <c r="Z43" s="2574"/>
      <c r="AA43" s="2574"/>
      <c r="AB43" s="2574"/>
      <c r="AC43" s="33" t="str">
        <f t="shared" ref="AC43:AD43" si="2">IF(AC42&gt;=45,"ST",IF(AC42&gt;=38,"T",IF(AC42&gt;=32,"S",IF(AC42&gt;=25,"R","SR"))))</f>
        <v>SR</v>
      </c>
      <c r="AD43" s="33" t="str">
        <f t="shared" si="2"/>
        <v>ST</v>
      </c>
      <c r="AE43" s="31"/>
    </row>
    <row r="44" spans="1:31">
      <c r="A44" s="3"/>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5"/>
    </row>
    <row r="45" spans="1:31">
      <c r="A45" s="3" t="s">
        <v>53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5"/>
    </row>
    <row r="46" spans="1:31">
      <c r="A46" s="3" t="s">
        <v>52</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5"/>
    </row>
    <row r="47" spans="1:31">
      <c r="A47" s="3" t="s">
        <v>54</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5"/>
    </row>
    <row r="48" spans="1:31">
      <c r="A48" s="3" t="s">
        <v>55</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5"/>
    </row>
    <row r="50" spans="20:31">
      <c r="T50" s="2639" t="s">
        <v>56</v>
      </c>
      <c r="U50" s="2639"/>
      <c r="V50" s="2639"/>
      <c r="W50" s="2639"/>
      <c r="AB50" s="2639" t="s">
        <v>38</v>
      </c>
      <c r="AC50" s="2639"/>
      <c r="AD50" s="2639"/>
      <c r="AE50" s="2639"/>
    </row>
    <row r="51" spans="20:31">
      <c r="T51" s="2639" t="s">
        <v>57</v>
      </c>
      <c r="U51" s="2639"/>
      <c r="V51" s="2639"/>
      <c r="W51" s="2639"/>
      <c r="AB51" s="2639" t="s">
        <v>57</v>
      </c>
      <c r="AC51" s="2639"/>
      <c r="AD51" s="2639"/>
      <c r="AE51" s="2639"/>
    </row>
    <row r="52" spans="20:31">
      <c r="T52" s="2639" t="s">
        <v>106</v>
      </c>
      <c r="U52" s="2639"/>
      <c r="V52" s="2639"/>
      <c r="W52" s="2639"/>
      <c r="AB52" s="2639" t="s">
        <v>103</v>
      </c>
      <c r="AC52" s="2639"/>
      <c r="AD52" s="2639"/>
      <c r="AE52" s="2639"/>
    </row>
    <row r="53" spans="20:31">
      <c r="T53" s="2639" t="s">
        <v>104</v>
      </c>
      <c r="U53" s="2639"/>
      <c r="V53" s="2639"/>
      <c r="W53" s="2639"/>
      <c r="AB53" s="2639" t="s">
        <v>104</v>
      </c>
      <c r="AC53" s="2639"/>
      <c r="AD53" s="2639"/>
      <c r="AE53" s="2639"/>
    </row>
    <row r="58" spans="20:31">
      <c r="T58" s="2639" t="s">
        <v>105</v>
      </c>
      <c r="U58" s="2639"/>
      <c r="V58" s="2639"/>
      <c r="W58" s="2639"/>
      <c r="AB58" s="2639" t="s">
        <v>105</v>
      </c>
      <c r="AC58" s="2639"/>
      <c r="AD58" s="2639"/>
      <c r="AE58" s="2639"/>
    </row>
  </sheetData>
  <mergeCells count="102">
    <mergeCell ref="AB58:AE58"/>
    <mergeCell ref="T50:W50"/>
    <mergeCell ref="T51:W51"/>
    <mergeCell ref="T52:W52"/>
    <mergeCell ref="T53:W53"/>
    <mergeCell ref="T58:W58"/>
    <mergeCell ref="Q10:X10"/>
    <mergeCell ref="Q11:X11"/>
    <mergeCell ref="A34:AB34"/>
    <mergeCell ref="A35:AB35"/>
    <mergeCell ref="B10:B21"/>
    <mergeCell ref="B22:B23"/>
    <mergeCell ref="A22:A23"/>
    <mergeCell ref="C10:H21"/>
    <mergeCell ref="J22:J23"/>
    <mergeCell ref="I22:I23"/>
    <mergeCell ref="C22:H23"/>
    <mergeCell ref="A10:A21"/>
    <mergeCell ref="I10:I21"/>
    <mergeCell ref="AB50:AE50"/>
    <mergeCell ref="AB51:AE51"/>
    <mergeCell ref="AB52:AE52"/>
    <mergeCell ref="AB53:AE53"/>
    <mergeCell ref="Y17:Z17"/>
    <mergeCell ref="A36:AE36"/>
    <mergeCell ref="A39:AB39"/>
    <mergeCell ref="A40:AB40"/>
    <mergeCell ref="A41:O41"/>
    <mergeCell ref="Q41:AA41"/>
    <mergeCell ref="A42:AB42"/>
    <mergeCell ref="A43:AB43"/>
    <mergeCell ref="Y10:Z11"/>
    <mergeCell ref="Y18:Z21"/>
    <mergeCell ref="Y22:Z22"/>
    <mergeCell ref="AA11:AB11"/>
    <mergeCell ref="U22:V22"/>
    <mergeCell ref="U12:V21"/>
    <mergeCell ref="W12:X21"/>
    <mergeCell ref="W22:X22"/>
    <mergeCell ref="Y12:Z12"/>
    <mergeCell ref="Y13:Z13"/>
    <mergeCell ref="Y14:Z14"/>
    <mergeCell ref="Y15:Z15"/>
    <mergeCell ref="Y16:Z16"/>
    <mergeCell ref="AA13:AB13"/>
    <mergeCell ref="AA12:AB12"/>
    <mergeCell ref="AA15:AB15"/>
    <mergeCell ref="O21:P21"/>
    <mergeCell ref="O22:P22"/>
    <mergeCell ref="Q22:R22"/>
    <mergeCell ref="S12:T21"/>
    <mergeCell ref="Q12:R21"/>
    <mergeCell ref="S22:T22"/>
    <mergeCell ref="M22:N22"/>
    <mergeCell ref="O12:P12"/>
    <mergeCell ref="O13:P13"/>
    <mergeCell ref="O14:P14"/>
    <mergeCell ref="O15:P15"/>
    <mergeCell ref="O16:P16"/>
    <mergeCell ref="O17:P17"/>
    <mergeCell ref="O18:P18"/>
    <mergeCell ref="O19:P19"/>
    <mergeCell ref="M15:N15"/>
    <mergeCell ref="M16:N16"/>
    <mergeCell ref="M17:N17"/>
    <mergeCell ref="M18:N18"/>
    <mergeCell ref="M19:N19"/>
    <mergeCell ref="M20:N20"/>
    <mergeCell ref="O20:P20"/>
    <mergeCell ref="K13:L13"/>
    <mergeCell ref="K14:L14"/>
    <mergeCell ref="K15:L15"/>
    <mergeCell ref="K16:L16"/>
    <mergeCell ref="K17:L17"/>
    <mergeCell ref="M14:N14"/>
    <mergeCell ref="K18:L18"/>
    <mergeCell ref="K19:L19"/>
    <mergeCell ref="K20:L21"/>
    <mergeCell ref="K10:L10"/>
    <mergeCell ref="M21:N21"/>
    <mergeCell ref="A1:AE1"/>
    <mergeCell ref="A2:AE2"/>
    <mergeCell ref="A3:AE3"/>
    <mergeCell ref="AA22:AB22"/>
    <mergeCell ref="AC22:AD22"/>
    <mergeCell ref="AE22:AE23"/>
    <mergeCell ref="AC13:AD13"/>
    <mergeCell ref="AC15:AD15"/>
    <mergeCell ref="AC16:AD16"/>
    <mergeCell ref="AC17:AD17"/>
    <mergeCell ref="M10:N10"/>
    <mergeCell ref="M11:N11"/>
    <mergeCell ref="M12:N12"/>
    <mergeCell ref="M13:N13"/>
    <mergeCell ref="AA16:AB16"/>
    <mergeCell ref="AA17:AB17"/>
    <mergeCell ref="AA18:AB18"/>
    <mergeCell ref="AA19:AB19"/>
    <mergeCell ref="AC14:AD14"/>
    <mergeCell ref="K22:L22"/>
    <mergeCell ref="K11:L11"/>
    <mergeCell ref="K12:L12"/>
  </mergeCells>
  <pageMargins left="0.16" right="0.15" top="0.511811023622047" bottom="0.35433070866141703" header="0.31496062992126" footer="0.196850393700787"/>
  <pageSetup paperSize="258" scale="63"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ev rkpd</vt:lpstr>
      <vt:lpstr>ev rkpd (2)</vt:lpstr>
      <vt:lpstr>Sheet1</vt:lpstr>
      <vt:lpstr>Sheet2</vt:lpstr>
      <vt:lpstr>Sheet3</vt:lpstr>
      <vt:lpstr>'ev rkpd'!Print_Titles</vt:lpstr>
      <vt:lpstr>'ev rkpd (2)'!Print_Titles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WILA PUTRI</dc:creator>
  <cp:lastModifiedBy>user</cp:lastModifiedBy>
  <cp:lastPrinted>2018-07-10T10:00:19Z</cp:lastPrinted>
  <dcterms:created xsi:type="dcterms:W3CDTF">2018-02-19T04:13:24Z</dcterms:created>
  <dcterms:modified xsi:type="dcterms:W3CDTF">2019-03-25T23:52:36Z</dcterms:modified>
</cp:coreProperties>
</file>